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3755" windowHeight="12315" activeTab="0"/>
  </bookViews>
  <sheets>
    <sheet name="Home Affordability" sheetId="1" r:id="rId1"/>
    <sheet name="2007 Fed Income Tax Schedule" sheetId="2" r:id="rId2"/>
    <sheet name="2007 CA Tax Schedule" sheetId="3" r:id="rId3"/>
    <sheet name="Effect of Price Decline" sheetId="4" r:id="rId4"/>
    <sheet name="Revisions" sheetId="5" r:id="rId5"/>
  </sheets>
  <definedNames>
    <definedName name="Fed_marginal_rate">'2007 Fed Income Tax Schedule'!$F$19</definedName>
    <definedName name="Married" localSheetId="1">'2007 Fed Income Tax Schedule'!$B$9:$F$14</definedName>
    <definedName name="Married">'2007 CA Tax Schedule'!$B$9:$F$14</definedName>
    <definedName name="Points">'Home Affordability'!$B$6</definedName>
    <definedName name="Renting">'Home Affordability'!$N$103</definedName>
    <definedName name="Single" localSheetId="1">'2007 Fed Income Tax Schedule'!$B$3:$F$8</definedName>
    <definedName name="Single">'2007 CA Tax Schedule'!$B$3:$F$8</definedName>
    <definedName name="solver_adj" localSheetId="0" hidden="1">'Home Affordability'!$M$32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'Home Affordability'!$M$116</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4000</definedName>
    <definedName name="State_marginal_rate">'2007 CA Tax Schedule'!$F$19</definedName>
  </definedNames>
  <calcPr fullCalcOnLoad="1"/>
</workbook>
</file>

<file path=xl/comments1.xml><?xml version="1.0" encoding="utf-8"?>
<comments xmlns="http://schemas.openxmlformats.org/spreadsheetml/2006/main">
  <authors>
    <author>Adam Schwartz</author>
    <author>Adam L. Schwartz</author>
  </authors>
  <commentList>
    <comment ref="L8" authorId="0">
      <text>
        <r>
          <rPr>
            <sz val="8"/>
            <rFont val="Tahoma"/>
            <family val="2"/>
          </rPr>
          <t>The profit from investing the closing cost and down payment.</t>
        </r>
      </text>
    </comment>
    <comment ref="F18" authorId="0">
      <text>
        <r>
          <rPr>
            <sz val="8"/>
            <rFont val="Tahoma"/>
            <family val="2"/>
          </rPr>
          <t>Mortgage payment + property tax + other costs - tax savings
Compare these to monthly rent payments.</t>
        </r>
      </text>
    </comment>
    <comment ref="L116" authorId="0">
      <text>
        <r>
          <rPr>
            <sz val="8"/>
            <rFont val="Tahoma"/>
            <family val="2"/>
          </rPr>
          <t>Subtract off the "Effectively monthly payment" from monthly net income so that tax advantages are added back.</t>
        </r>
      </text>
    </comment>
    <comment ref="N102" authorId="0">
      <text>
        <r>
          <rPr>
            <sz val="8"/>
            <rFont val="Tahoma"/>
            <family val="2"/>
          </rPr>
          <t>Tax / (gross income - 401k )</t>
        </r>
      </text>
    </comment>
    <comment ref="L88" authorId="0">
      <text>
        <r>
          <rPr>
            <sz val="8"/>
            <rFont val="Tahoma"/>
            <family val="2"/>
          </rPr>
          <t>Gross - (allowances + interest + property tax + 401(k))</t>
        </r>
      </text>
    </comment>
    <comment ref="E18" authorId="1">
      <text>
        <r>
          <rPr>
            <sz val="8"/>
            <rFont val="Tahoma"/>
            <family val="2"/>
          </rPr>
          <t xml:space="preserve">I subtract out the state income tax deduction since you'd get that anyway if you were renting.
</t>
        </r>
      </text>
    </comment>
    <comment ref="L46" authorId="1">
      <text>
        <r>
          <rPr>
            <sz val="8"/>
            <rFont val="Tahoma"/>
            <family val="2"/>
          </rPr>
          <t>This is the average tax rate computed as total tax divided by taxable income.</t>
        </r>
      </text>
    </comment>
    <comment ref="E12" authorId="1">
      <text>
        <r>
          <rPr>
            <sz val="8"/>
            <rFont val="Tahoma"/>
            <family val="2"/>
          </rPr>
          <t>I guess that at the time you sell your house the federal capital gains rate will be 20%</t>
        </r>
      </text>
    </comment>
    <comment ref="B13" authorId="0">
      <text>
        <r>
          <rPr>
            <sz val="8"/>
            <rFont val="Tahoma"/>
            <family val="2"/>
          </rPr>
          <t>Not including points.  Points are accountedf for in cell B18 (interest payment in the first month).
The cell turns red if the monthly payment exceeds a third of the gross monthly income.</t>
        </r>
      </text>
    </comment>
    <comment ref="L9" authorId="1">
      <text>
        <r>
          <rPr>
            <sz val="8"/>
            <rFont val="Tahoma"/>
            <family val="2"/>
          </rPr>
          <t>Because of AMT, I reduce the tax savings to the amount you save from interest and property tax deductions minus your deduction for state income tax which will probably not be allowed by AMT (but would have been allowed if you didn't own a home). AMT also does allow property tax deduction but this is just an effort at approximation!</t>
        </r>
      </text>
    </comment>
    <comment ref="C32" authorId="1">
      <text>
        <r>
          <rPr>
            <sz val="8"/>
            <rFont val="Tahoma"/>
            <family val="2"/>
          </rPr>
          <t>Includes closing costs other than points.</t>
        </r>
      </text>
    </comment>
    <comment ref="B32" authorId="1">
      <text>
        <r>
          <rPr>
            <sz val="8"/>
            <rFont val="Tahoma"/>
            <family val="2"/>
          </rPr>
          <t>Includes points.</t>
        </r>
      </text>
    </comment>
    <comment ref="J18" authorId="1">
      <text>
        <r>
          <rPr>
            <sz val="8"/>
            <rFont val="Tahoma"/>
            <family val="2"/>
          </rPr>
          <t>This is essentially your rent.  It's how much money gets thrown down the drain to own the house;  how much of your monthly payment that is not going into "owning" your home.  It includes interest (minus tax deduction), property tax, homeowner's insurance, maintainence costs.
It is useful to compare this to what it would cost to rent a home.</t>
        </r>
      </text>
    </comment>
    <comment ref="M88" authorId="0">
      <text>
        <r>
          <rPr>
            <sz val="8"/>
            <rFont val="Tahoma"/>
            <family val="2"/>
          </rPr>
          <t>Remove deduction for points since this only applies to first year.</t>
        </r>
      </text>
    </comment>
    <comment ref="N18" authorId="0">
      <text>
        <r>
          <rPr>
            <sz val="8"/>
            <rFont val="Tahoma"/>
            <family val="2"/>
          </rPr>
          <t>Under AMT, you have a higher exemption but you lose the write-offs for state and property tax.  Note: interest for home equity loans used for anything other than home improvement is also excluded.</t>
        </r>
      </text>
    </comment>
  </commentList>
</comments>
</file>

<file path=xl/sharedStrings.xml><?xml version="1.0" encoding="utf-8"?>
<sst xmlns="http://schemas.openxmlformats.org/spreadsheetml/2006/main" count="576" uniqueCount="183">
  <si>
    <t>Loan amount</t>
  </si>
  <si>
    <t>Interest rate</t>
  </si>
  <si>
    <t>term (years)</t>
  </si>
  <si>
    <t>Month 1</t>
  </si>
  <si>
    <t>Month 2</t>
  </si>
  <si>
    <t>Month 3</t>
  </si>
  <si>
    <t>Month 4</t>
  </si>
  <si>
    <t>Month 5</t>
  </si>
  <si>
    <t>Month 6</t>
  </si>
  <si>
    <t>Month 7</t>
  </si>
  <si>
    <t>Month 8</t>
  </si>
  <si>
    <t>Month 9</t>
  </si>
  <si>
    <t>Month 10</t>
  </si>
  <si>
    <t>Month 11</t>
  </si>
  <si>
    <t>Month 12</t>
  </si>
  <si>
    <t xml:space="preserve">Interest </t>
  </si>
  <si>
    <t>Principal</t>
  </si>
  <si>
    <t>Year 4</t>
  </si>
  <si>
    <t>Year 5</t>
  </si>
  <si>
    <t>Year 6</t>
  </si>
  <si>
    <t>Year 8</t>
  </si>
  <si>
    <t>Year 10</t>
  </si>
  <si>
    <t>Year 16</t>
  </si>
  <si>
    <t>Year 22</t>
  </si>
  <si>
    <t>Year 26</t>
  </si>
  <si>
    <t>Year 27</t>
  </si>
  <si>
    <t>Year 29</t>
  </si>
  <si>
    <t>Year 30</t>
  </si>
  <si>
    <t>Year Total</t>
  </si>
  <si>
    <t>Cum. Year Total</t>
  </si>
  <si>
    <t>Property Value</t>
  </si>
  <si>
    <t>Down Payment</t>
  </si>
  <si>
    <t>Percent Down</t>
  </si>
  <si>
    <t>Monthly payment</t>
  </si>
  <si>
    <t>Number of months</t>
  </si>
  <si>
    <t>Tax Savings</t>
  </si>
  <si>
    <t>Effective monthly payment</t>
  </si>
  <si>
    <t>Proprerty Tax</t>
  </si>
  <si>
    <t>Homeowner's Insurance</t>
  </si>
  <si>
    <t>Maintenance Costs</t>
  </si>
  <si>
    <t>Years to keep home</t>
  </si>
  <si>
    <t>Amortization Table</t>
  </si>
  <si>
    <t>Selling Cost</t>
  </si>
  <si>
    <t>Value of home at end</t>
  </si>
  <si>
    <t>Selling Costs</t>
  </si>
  <si>
    <t>Year 1</t>
  </si>
  <si>
    <t>Year 2</t>
  </si>
  <si>
    <t>Year 3</t>
  </si>
  <si>
    <t>Year 7</t>
  </si>
  <si>
    <t>Year 9</t>
  </si>
  <si>
    <t>Year 11</t>
  </si>
  <si>
    <t>Year 12</t>
  </si>
  <si>
    <t>Year 13</t>
  </si>
  <si>
    <t>Year 14</t>
  </si>
  <si>
    <t>Year 15</t>
  </si>
  <si>
    <t>Year 17</t>
  </si>
  <si>
    <t>Year 18</t>
  </si>
  <si>
    <t>Year 19</t>
  </si>
  <si>
    <t>Year 20</t>
  </si>
  <si>
    <t>Year 21</t>
  </si>
  <si>
    <t>Year 23</t>
  </si>
  <si>
    <t>Year 24</t>
  </si>
  <si>
    <t>Year 25</t>
  </si>
  <si>
    <t>Year 28</t>
  </si>
  <si>
    <t>Remaining loan amnt due</t>
  </si>
  <si>
    <t>Interest Payments</t>
  </si>
  <si>
    <t>Principle Payments</t>
  </si>
  <si>
    <t>Property Tax</t>
  </si>
  <si>
    <t>Yearly Costs</t>
  </si>
  <si>
    <t>Opportunity Cost</t>
  </si>
  <si>
    <t>Monthly Rent + Rent Ins.</t>
  </si>
  <si>
    <t>Rent</t>
  </si>
  <si>
    <t>Cost of buying  vs. renting</t>
  </si>
  <si>
    <t>Affordability</t>
  </si>
  <si>
    <t>Gross Income</t>
  </si>
  <si>
    <t>Medicare</t>
  </si>
  <si>
    <t>401(k)</t>
  </si>
  <si>
    <t>Single</t>
  </si>
  <si>
    <t>Above</t>
  </si>
  <si>
    <t>Below</t>
  </si>
  <si>
    <t>Amount Due</t>
  </si>
  <si>
    <t>This</t>
  </si>
  <si>
    <t>Plus this %</t>
  </si>
  <si>
    <t>Above the excess over</t>
  </si>
  <si>
    <t>Married</t>
  </si>
  <si>
    <t>Taxable Income</t>
  </si>
  <si>
    <t>Total Tax</t>
  </si>
  <si>
    <t>Effective Tax rate</t>
  </si>
  <si>
    <t>applicable row</t>
  </si>
  <si>
    <t>Taxable income</t>
  </si>
  <si>
    <t>Effective Fed tax rate</t>
  </si>
  <si>
    <t>Amnt leftover each month</t>
  </si>
  <si>
    <t>Federal Taxable Income</t>
  </si>
  <si>
    <t>Cost per year</t>
  </si>
  <si>
    <t>Federal Standard Deduction</t>
  </si>
  <si>
    <t>Exemptions</t>
  </si>
  <si>
    <r>
      <t xml:space="preserve">Home appreciation </t>
    </r>
    <r>
      <rPr>
        <b/>
        <i/>
        <sz val="10"/>
        <rFont val="Arial"/>
        <family val="2"/>
      </rPr>
      <t>per yr</t>
    </r>
  </si>
  <si>
    <t>State Taxable Income</t>
  </si>
  <si>
    <t>State Standard Deduction</t>
  </si>
  <si>
    <t>Federal Exemption amount</t>
  </si>
  <si>
    <t>Investment Value</t>
  </si>
  <si>
    <r>
      <t xml:space="preserve">Only modify cells that are </t>
    </r>
    <r>
      <rPr>
        <b/>
        <sz val="12"/>
        <rFont val="Arial"/>
        <family val="2"/>
      </rPr>
      <t>bold black</t>
    </r>
    <r>
      <rPr>
        <i/>
        <sz val="12"/>
        <rFont val="Arial"/>
        <family val="2"/>
      </rPr>
      <t>.</t>
    </r>
  </si>
  <si>
    <t>Date</t>
  </si>
  <si>
    <t>Change</t>
  </si>
  <si>
    <t>Details</t>
  </si>
  <si>
    <t>Add "include rent savings" toggle button.</t>
  </si>
  <si>
    <r>
      <t xml:space="preserve">Rent Increase rate </t>
    </r>
    <r>
      <rPr>
        <b/>
        <i/>
        <sz val="10"/>
        <rFont val="Arial"/>
        <family val="2"/>
      </rPr>
      <t>per yr</t>
    </r>
  </si>
  <si>
    <t>Added rent increase.</t>
  </si>
  <si>
    <t>When selected, the difference between rent and effective mortgage payments is invested each year at the investment rate.  The returns are reinvested and taxed each year.</t>
  </si>
  <si>
    <r>
      <t xml:space="preserve">Investment rate </t>
    </r>
    <r>
      <rPr>
        <b/>
        <i/>
        <sz val="10"/>
        <rFont val="Arial"/>
        <family val="2"/>
      </rPr>
      <t>per yr</t>
    </r>
  </si>
  <si>
    <t>eff. paymt - rent (monthly)</t>
  </si>
  <si>
    <t>invested returms (annual)</t>
  </si>
  <si>
    <t>Total (annual)</t>
  </si>
  <si>
    <t>row of last year</t>
  </si>
  <si>
    <t>Rent increases a fixed percent per year.</t>
  </si>
  <si>
    <t>Corrected standard deduction</t>
  </si>
  <si>
    <t>The tax savings from interest equals MAX( standard deduction, mortgage interest )</t>
  </si>
  <si>
    <t>Opportunity cost redefined to be amount of profit lost from investment of initial costs.</t>
  </si>
  <si>
    <t>Initial fixed costs are added explicitly to cost of buying a home.</t>
  </si>
  <si>
    <t>Changed federal tax bracket from being a user input to be determined from the federal tax schedule.</t>
  </si>
  <si>
    <t>This may underestimate the marginal tax rate because the federal tax table lookup uses taxable income - interest.</t>
  </si>
  <si>
    <t>Total cost of loan</t>
  </si>
  <si>
    <t>Points</t>
  </si>
  <si>
    <t>Added a cell for loan points.</t>
  </si>
  <si>
    <t>Negative number means you're better</t>
  </si>
  <si>
    <t>off buying a home.</t>
  </si>
  <si>
    <t>Marginal Tax Rate</t>
  </si>
  <si>
    <t>Updated tax schedules.</t>
  </si>
  <si>
    <t>Fixed tax table lookup for married filing status.</t>
  </si>
  <si>
    <t>Marginal Tax Bracket</t>
  </si>
  <si>
    <t>Decide to calculate tax savings based on marginal, rather than average, tax rate.</t>
  </si>
  <si>
    <t>Note that both approaches are just approximations.</t>
  </si>
  <si>
    <t>Effective State tax rate</t>
  </si>
  <si>
    <t>Added tax on the sale of the home.</t>
  </si>
  <si>
    <t>Social Security</t>
  </si>
  <si>
    <t xml:space="preserve">  You can exclude up to $250,000 (or $500,000 if married) from capital gain on home sale if you've lived there for two years.</t>
  </si>
  <si>
    <t>state SDI</t>
  </si>
  <si>
    <t>Capital gains rate (fed+state)</t>
  </si>
  <si>
    <t>Cum Principal Pymnts</t>
  </si>
  <si>
    <t>Total Interest+Points</t>
  </si>
  <si>
    <t>In cells B14 and C14 removed downpayment</t>
  </si>
  <si>
    <t>Downpayment isn't part of the cost of a loan.</t>
  </si>
  <si>
    <t>Reduced estimate in tax savings columns</t>
  </si>
  <si>
    <t>I assume that if you own a home, AMT will prevent you from deducting state income tax from your federal taxes.</t>
  </si>
  <si>
    <t>Most closing costs are not tax-deductible.</t>
  </si>
  <si>
    <t>Net Disposable Income</t>
  </si>
  <si>
    <t>Closing</t>
  </si>
  <si>
    <t>Removed closing cost other than points from tax savings</t>
  </si>
  <si>
    <t>Cost of points</t>
  </si>
  <si>
    <t>Added button to select btw rent or own when computing net disposable income leftover each month.</t>
  </si>
  <si>
    <t>Fixed up some formulas relating to points on the loan.</t>
  </si>
  <si>
    <t>Year</t>
  </si>
  <si>
    <t>Appreciation</t>
  </si>
  <si>
    <t>Total Appreciation</t>
  </si>
  <si>
    <t>Avg. Yearly Apprc.</t>
  </si>
  <si>
    <t>Prevented divide by zero in calculating marginal tax rates.</t>
  </si>
  <si>
    <t>Forgot to include closing points in first year's effective monthly payments.</t>
  </si>
  <si>
    <t>Eff. non-principal monthly pymts</t>
  </si>
  <si>
    <t>Added a column for effective monthly, non-principal payments.</t>
  </si>
  <si>
    <t>This is essentially the "rent" you pay to own your home.</t>
  </si>
  <si>
    <t>Add back cost of points to taxable income (L87, L88) since this deduction only applies to first year.</t>
  </si>
  <si>
    <t>I was subtracting out both state tax and the standard deduction to compute the tax savings.  Now I just subtract the maximum of the two.</t>
  </si>
  <si>
    <t>Tax savings correction (E31).</t>
  </si>
  <si>
    <t>AMT calculation</t>
  </si>
  <si>
    <t>AMT exemption</t>
  </si>
  <si>
    <t>Added a crude estimation of the effect of AMT.</t>
  </si>
  <si>
    <t>I reduce the tax savings by the AMT amount (O45).</t>
  </si>
  <si>
    <t>AMT liability</t>
  </si>
  <si>
    <t>AMT income</t>
  </si>
  <si>
    <t>AMT</t>
  </si>
  <si>
    <t>Monthly payment vs. duration of loan</t>
  </si>
  <si>
    <t>Number of Years</t>
  </si>
  <si>
    <t>Interest Rate</t>
  </si>
  <si>
    <t>Monthly Payment</t>
  </si>
  <si>
    <t>Loan Amount</t>
  </si>
  <si>
    <t>Updated the tax tables to 2007.</t>
  </si>
  <si>
    <t>I'm assuming congress will extend the 2007 exemption level.</t>
  </si>
  <si>
    <t>Cell B12 turns red if mortgage payment exceeds 1/3rd of income.</t>
  </si>
  <si>
    <t>Total closing cost</t>
  </si>
  <si>
    <t>Added cell B11: total closing cost.</t>
  </si>
  <si>
    <t>Assumes 1.4% of loan amount for administrative costs, loan origination, appraisal, etc..</t>
  </si>
  <si>
    <t>Loan Closing Cost excl points</t>
  </si>
  <si>
    <t>Loan Details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</si>
</sst>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quot;$&quot;* #,##0.0_);_(&quot;$&quot;* \(#,##0.0\);_(&quot;$&quot;* &quot;-&quot;??_);_(@_)"/>
    <numFmt numFmtId="167" formatCode="_(&quot;$&quot;* #,##0_);_(&quot;$&quot;* \(#,##0\);_(&quot;$&quot;* &quot;-&quot;??_);_(@_)"/>
    <numFmt numFmtId="168" formatCode="&quot;$&quot;#,##0"/>
    <numFmt numFmtId="169" formatCode="_(* #,##0.0_);_(* \(#,##0.0\);_(* &quot;-&quot;?_);_(@_)"/>
    <numFmt numFmtId="170" formatCode="&quot;$&quot;#,##0.000"/>
    <numFmt numFmtId="171" formatCode="&quot;$&quot;#,##0.0000"/>
    <numFmt numFmtId="172" formatCode="[$-409]dddd\,\ mmmm\ dd\,\ yyyy"/>
    <numFmt numFmtId="173" formatCode="m/d/yy;@"/>
    <numFmt numFmtId="174" formatCode="_(* #,##0.0000_);_(* \(#,##0.0000\);_(* &quot;-&quot;????_);_(@_)"/>
    <numFmt numFmtId="175" formatCode="_(* #,##0.000_);_(* \(#,##0.000\);_(* &quot;-&quot;???_);_(@_)"/>
    <numFmt numFmtId="176" formatCode="0.000%"/>
    <numFmt numFmtId="177" formatCode="[$-409]h:mm:ss\ AM/PM"/>
  </numFmts>
  <fonts count="17">
    <font>
      <sz val="10"/>
      <name val="Arial"/>
      <family val="0"/>
    </font>
    <font>
      <sz val="8"/>
      <name val="Arial"/>
      <family val="0"/>
    </font>
    <font>
      <b/>
      <sz val="10"/>
      <name val="Arial"/>
      <family val="2"/>
    </font>
    <font>
      <i/>
      <sz val="10"/>
      <name val="Arial"/>
      <family val="2"/>
    </font>
    <font>
      <sz val="10"/>
      <color indexed="12"/>
      <name val="Arial"/>
      <family val="0"/>
    </font>
    <font>
      <b/>
      <sz val="10"/>
      <color indexed="12"/>
      <name val="Arial"/>
      <family val="2"/>
    </font>
    <font>
      <sz val="8"/>
      <name val="Tahoma"/>
      <family val="2"/>
    </font>
    <font>
      <b/>
      <i/>
      <sz val="10"/>
      <name val="Arial"/>
      <family val="2"/>
    </font>
    <font>
      <i/>
      <sz val="12"/>
      <name val="Arial"/>
      <family val="2"/>
    </font>
    <font>
      <b/>
      <sz val="12"/>
      <name val="Arial"/>
      <family val="2"/>
    </font>
    <font>
      <sz val="12"/>
      <color indexed="12"/>
      <name val="Arial"/>
      <family val="2"/>
    </font>
    <font>
      <sz val="12"/>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10" fontId="2" fillId="0" borderId="0" xfId="0" applyNumberFormat="1" applyFont="1" applyAlignment="1">
      <alignment horizontal="center"/>
    </xf>
    <xf numFmtId="0" fontId="2" fillId="0" borderId="0" xfId="0" applyFont="1" applyAlignment="1">
      <alignment horizontal="center"/>
    </xf>
    <xf numFmtId="8" fontId="0" fillId="0" borderId="0" xfId="0" applyNumberFormat="1" applyAlignment="1">
      <alignment/>
    </xf>
    <xf numFmtId="0" fontId="0" fillId="0" borderId="0" xfId="0" applyAlignment="1">
      <alignment horizontal="right"/>
    </xf>
    <xf numFmtId="9" fontId="2"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right"/>
    </xf>
    <xf numFmtId="165" fontId="2" fillId="0" borderId="0" xfId="0" applyNumberFormat="1" applyFont="1" applyAlignment="1">
      <alignment horizontal="center"/>
    </xf>
    <xf numFmtId="164" fontId="0" fillId="0" borderId="0" xfId="0" applyNumberFormat="1" applyAlignment="1">
      <alignment/>
    </xf>
    <xf numFmtId="168" fontId="2" fillId="0" borderId="0" xfId="0" applyNumberFormat="1" applyFont="1" applyAlignment="1">
      <alignment horizontal="center"/>
    </xf>
    <xf numFmtId="6" fontId="2" fillId="0" borderId="0" xfId="0" applyNumberFormat="1" applyFont="1" applyAlignment="1">
      <alignment horizontal="center"/>
    </xf>
    <xf numFmtId="0" fontId="0" fillId="0" borderId="1" xfId="0" applyBorder="1" applyAlignment="1">
      <alignment horizontal="right"/>
    </xf>
    <xf numFmtId="167" fontId="0" fillId="0" borderId="2" xfId="17" applyNumberFormat="1" applyBorder="1" applyAlignment="1">
      <alignment/>
    </xf>
    <xf numFmtId="0" fontId="0" fillId="0" borderId="1" xfId="0" applyBorder="1" applyAlignment="1">
      <alignment/>
    </xf>
    <xf numFmtId="0" fontId="2" fillId="0" borderId="2" xfId="0" applyFont="1" applyBorder="1" applyAlignment="1">
      <alignment/>
    </xf>
    <xf numFmtId="0" fontId="0" fillId="0" borderId="3" xfId="0" applyBorder="1" applyAlignment="1">
      <alignment horizontal="right"/>
    </xf>
    <xf numFmtId="0" fontId="0" fillId="0" borderId="2" xfId="0" applyBorder="1" applyAlignment="1">
      <alignment/>
    </xf>
    <xf numFmtId="167" fontId="5" fillId="0" borderId="4" xfId="17" applyNumberFormat="1" applyFont="1" applyBorder="1" applyAlignment="1">
      <alignment/>
    </xf>
    <xf numFmtId="0" fontId="0" fillId="0" borderId="1" xfId="0" applyBorder="1" applyAlignment="1">
      <alignment horizontal="center"/>
    </xf>
    <xf numFmtId="0" fontId="0" fillId="0" borderId="2" xfId="0" applyBorder="1" applyAlignment="1">
      <alignment horizontal="center"/>
    </xf>
    <xf numFmtId="167" fontId="2" fillId="0" borderId="2" xfId="17" applyNumberFormat="1" applyFont="1" applyBorder="1" applyAlignment="1">
      <alignment horizontal="center"/>
    </xf>
    <xf numFmtId="9" fontId="0" fillId="0" borderId="0" xfId="0" applyNumberFormat="1" applyAlignment="1">
      <alignment horizontal="center"/>
    </xf>
    <xf numFmtId="0" fontId="2" fillId="0" borderId="1" xfId="0" applyFont="1" applyBorder="1" applyAlignment="1">
      <alignment/>
    </xf>
    <xf numFmtId="0" fontId="0" fillId="0" borderId="0" xfId="0" applyBorder="1" applyAlignment="1">
      <alignment horizontal="center"/>
    </xf>
    <xf numFmtId="9" fontId="0" fillId="0" borderId="0" xfId="0" applyNumberFormat="1" applyBorder="1" applyAlignment="1">
      <alignment horizontal="center"/>
    </xf>
    <xf numFmtId="1" fontId="0" fillId="0" borderId="0" xfId="0" applyNumberFormat="1" applyBorder="1" applyAlignment="1">
      <alignment horizontal="center"/>
    </xf>
    <xf numFmtId="0" fontId="0" fillId="0" borderId="5" xfId="0" applyBorder="1" applyAlignment="1">
      <alignment/>
    </xf>
    <xf numFmtId="1" fontId="0" fillId="0" borderId="6" xfId="0" applyNumberFormat="1" applyBorder="1" applyAlignment="1">
      <alignment horizontal="center"/>
    </xf>
    <xf numFmtId="9" fontId="0" fillId="0" borderId="6" xfId="0" applyNumberFormat="1" applyBorder="1" applyAlignment="1">
      <alignment horizontal="center"/>
    </xf>
    <xf numFmtId="0" fontId="0" fillId="0" borderId="4" xfId="0" applyBorder="1" applyAlignment="1">
      <alignment horizontal="center"/>
    </xf>
    <xf numFmtId="0" fontId="0" fillId="0" borderId="3" xfId="0" applyBorder="1" applyAlignment="1">
      <alignment/>
    </xf>
    <xf numFmtId="1" fontId="0" fillId="0" borderId="7" xfId="0" applyNumberFormat="1" applyBorder="1" applyAlignment="1">
      <alignment horizontal="center"/>
    </xf>
    <xf numFmtId="9" fontId="0" fillId="0" borderId="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3" xfId="0" applyFill="1" applyBorder="1" applyAlignment="1">
      <alignment/>
    </xf>
    <xf numFmtId="0" fontId="3" fillId="0" borderId="10"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wrapText="1"/>
    </xf>
    <xf numFmtId="9" fontId="3" fillId="0" borderId="7" xfId="0" applyNumberFormat="1" applyFont="1" applyFill="1" applyBorder="1" applyAlignment="1">
      <alignment horizontal="center" wrapText="1"/>
    </xf>
    <xf numFmtId="0" fontId="3" fillId="0" borderId="8" xfId="0" applyFont="1" applyFill="1" applyBorder="1" applyAlignment="1">
      <alignment horizontal="center" wrapText="1"/>
    </xf>
    <xf numFmtId="0" fontId="0" fillId="0" borderId="15" xfId="0" applyFill="1" applyBorder="1" applyAlignment="1">
      <alignment/>
    </xf>
    <xf numFmtId="9" fontId="0" fillId="0" borderId="0" xfId="0" applyNumberFormat="1" applyAlignment="1">
      <alignment horizontal="right"/>
    </xf>
    <xf numFmtId="9" fontId="2" fillId="0" borderId="0" xfId="0" applyNumberFormat="1" applyFont="1" applyAlignment="1">
      <alignment horizontal="right"/>
    </xf>
    <xf numFmtId="167" fontId="0" fillId="0" borderId="0" xfId="17" applyNumberFormat="1" applyAlignment="1">
      <alignment horizontal="center"/>
    </xf>
    <xf numFmtId="165" fontId="4" fillId="0" borderId="2" xfId="0" applyNumberFormat="1" applyFont="1" applyBorder="1" applyAlignment="1">
      <alignment horizontal="center"/>
    </xf>
    <xf numFmtId="165" fontId="4" fillId="0" borderId="0" xfId="0" applyNumberFormat="1" applyFont="1" applyAlignment="1">
      <alignment horizontal="center"/>
    </xf>
    <xf numFmtId="167" fontId="4" fillId="0" borderId="2" xfId="17" applyNumberFormat="1" applyFont="1" applyBorder="1" applyAlignment="1">
      <alignment/>
    </xf>
    <xf numFmtId="0" fontId="4" fillId="0" borderId="2" xfId="0" applyFont="1" applyBorder="1" applyAlignment="1">
      <alignment/>
    </xf>
    <xf numFmtId="167" fontId="4" fillId="0" borderId="8" xfId="17" applyNumberFormat="1" applyFont="1" applyBorder="1" applyAlignment="1">
      <alignment/>
    </xf>
    <xf numFmtId="43" fontId="0" fillId="0" borderId="0" xfId="0" applyNumberFormat="1" applyAlignment="1">
      <alignment horizontal="center"/>
    </xf>
    <xf numFmtId="0" fontId="0" fillId="0" borderId="0" xfId="17" applyNumberFormat="1" applyAlignment="1">
      <alignment horizontal="center"/>
    </xf>
    <xf numFmtId="167" fontId="4" fillId="0" borderId="0" xfId="17" applyNumberFormat="1" applyFont="1" applyAlignment="1">
      <alignment/>
    </xf>
    <xf numFmtId="167" fontId="4" fillId="0" borderId="0" xfId="0" applyNumberFormat="1" applyFont="1" applyAlignment="1">
      <alignment/>
    </xf>
    <xf numFmtId="0" fontId="3" fillId="0" borderId="0" xfId="0" applyFont="1" applyAlignment="1">
      <alignment horizontal="left"/>
    </xf>
    <xf numFmtId="167" fontId="0" fillId="0" borderId="0" xfId="17" applyNumberFormat="1" applyAlignment="1">
      <alignment horizontal="center"/>
    </xf>
    <xf numFmtId="0" fontId="0" fillId="0" borderId="0" xfId="17" applyNumberFormat="1" applyAlignment="1">
      <alignment horizontal="center"/>
    </xf>
    <xf numFmtId="165" fontId="0" fillId="0" borderId="7" xfId="0" applyNumberFormat="1" applyBorder="1" applyAlignment="1">
      <alignment horizontal="center"/>
    </xf>
    <xf numFmtId="165" fontId="0" fillId="0" borderId="6" xfId="0" applyNumberFormat="1" applyBorder="1" applyAlignment="1">
      <alignment horizontal="center"/>
    </xf>
    <xf numFmtId="167" fontId="4" fillId="0" borderId="0" xfId="17" applyNumberFormat="1" applyFont="1" applyAlignment="1">
      <alignment horizontal="center"/>
    </xf>
    <xf numFmtId="0" fontId="5" fillId="0" borderId="0" xfId="0" applyFont="1" applyBorder="1" applyAlignment="1">
      <alignment horizontal="right"/>
    </xf>
    <xf numFmtId="167" fontId="5" fillId="0" borderId="0" xfId="17" applyNumberFormat="1" applyFont="1" applyBorder="1" applyAlignment="1">
      <alignment/>
    </xf>
    <xf numFmtId="168" fontId="2" fillId="0" borderId="0" xfId="0" applyNumberFormat="1" applyFont="1" applyAlignment="1" applyProtection="1">
      <alignment horizontal="center"/>
      <protection locked="0"/>
    </xf>
    <xf numFmtId="9" fontId="2" fillId="0" borderId="0" xfId="0" applyNumberFormat="1" applyFont="1" applyAlignment="1" applyProtection="1">
      <alignment horizontal="center"/>
      <protection locked="0"/>
    </xf>
    <xf numFmtId="10"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165" fontId="2" fillId="0" borderId="0" xfId="0" applyNumberFormat="1" applyFont="1" applyAlignment="1" applyProtection="1">
      <alignment horizontal="center"/>
      <protection locked="0"/>
    </xf>
    <xf numFmtId="6" fontId="2" fillId="0" borderId="0" xfId="0" applyNumberFormat="1" applyFont="1" applyAlignment="1" applyProtection="1">
      <alignment horizontal="center"/>
      <protection locked="0"/>
    </xf>
    <xf numFmtId="167" fontId="2" fillId="0" borderId="2" xfId="17" applyNumberFormat="1" applyFont="1" applyBorder="1" applyAlignment="1" applyProtection="1">
      <alignment/>
      <protection locked="0"/>
    </xf>
    <xf numFmtId="0" fontId="2" fillId="0" borderId="2" xfId="0" applyFont="1" applyBorder="1" applyAlignment="1" applyProtection="1">
      <alignment horizontal="center"/>
      <protection locked="0"/>
    </xf>
    <xf numFmtId="0" fontId="0" fillId="0" borderId="0" xfId="0" applyAlignment="1" applyProtection="1">
      <alignment/>
      <protection locked="0"/>
    </xf>
    <xf numFmtId="164" fontId="0" fillId="0" borderId="1" xfId="0" applyNumberFormat="1" applyBorder="1" applyAlignment="1">
      <alignment horizontal="right"/>
    </xf>
    <xf numFmtId="167" fontId="4" fillId="0" borderId="2" xfId="17" applyNumberFormat="1" applyFont="1" applyBorder="1" applyAlignment="1">
      <alignment/>
    </xf>
    <xf numFmtId="167" fontId="4" fillId="0" borderId="8" xfId="17" applyNumberFormat="1" applyFont="1" applyBorder="1" applyAlignment="1">
      <alignment horizontal="right"/>
    </xf>
    <xf numFmtId="0" fontId="0" fillId="0" borderId="3" xfId="0" applyFill="1" applyBorder="1" applyAlignment="1">
      <alignment horizontal="right"/>
    </xf>
    <xf numFmtId="0" fontId="5" fillId="0" borderId="1" xfId="0" applyFont="1" applyBorder="1" applyAlignment="1">
      <alignment horizontal="right"/>
    </xf>
    <xf numFmtId="167" fontId="5" fillId="0" borderId="2" xfId="17" applyNumberFormat="1" applyFont="1" applyBorder="1" applyAlignment="1">
      <alignment horizontal="right"/>
    </xf>
    <xf numFmtId="0" fontId="5" fillId="0" borderId="5" xfId="0" applyFont="1" applyFill="1" applyBorder="1" applyAlignment="1">
      <alignment horizontal="right"/>
    </xf>
    <xf numFmtId="167" fontId="5" fillId="0" borderId="4" xfId="17" applyNumberFormat="1" applyFont="1" applyBorder="1" applyAlignment="1">
      <alignment horizontal="right"/>
    </xf>
    <xf numFmtId="0" fontId="8" fillId="0" borderId="0" xfId="0" applyFont="1" applyAlignment="1">
      <alignment horizontal="left"/>
    </xf>
    <xf numFmtId="0" fontId="2" fillId="0" borderId="0" xfId="0" applyFont="1" applyAlignment="1">
      <alignment/>
    </xf>
    <xf numFmtId="0" fontId="2" fillId="0" borderId="0" xfId="0" applyFont="1" applyAlignment="1">
      <alignment wrapText="1"/>
    </xf>
    <xf numFmtId="0" fontId="0" fillId="0" borderId="0" xfId="0" applyAlignment="1">
      <alignment wrapText="1"/>
    </xf>
    <xf numFmtId="173" fontId="2" fillId="0" borderId="0" xfId="0" applyNumberFormat="1" applyFont="1" applyAlignment="1">
      <alignment horizontal="center" vertical="top"/>
    </xf>
    <xf numFmtId="173" fontId="0" fillId="0" borderId="0" xfId="0" applyNumberFormat="1" applyAlignment="1">
      <alignment horizontal="center" vertical="top"/>
    </xf>
    <xf numFmtId="0" fontId="3" fillId="0" borderId="0" xfId="0" applyFont="1" applyBorder="1" applyAlignment="1">
      <alignment horizontal="center"/>
    </xf>
    <xf numFmtId="0" fontId="3" fillId="0" borderId="12" xfId="0" applyFont="1" applyBorder="1" applyAlignment="1">
      <alignment horizontal="center" wrapText="1"/>
    </xf>
    <xf numFmtId="164" fontId="0" fillId="0" borderId="0" xfId="0" applyNumberFormat="1" applyBorder="1" applyAlignment="1">
      <alignment horizontal="center"/>
    </xf>
    <xf numFmtId="8" fontId="0" fillId="0" borderId="0" xfId="0" applyNumberFormat="1" applyBorder="1" applyAlignment="1">
      <alignment/>
    </xf>
    <xf numFmtId="0" fontId="0" fillId="0" borderId="0" xfId="0" applyBorder="1" applyAlignment="1">
      <alignment/>
    </xf>
    <xf numFmtId="0" fontId="0" fillId="0" borderId="12" xfId="0" applyBorder="1" applyAlignment="1">
      <alignment/>
    </xf>
    <xf numFmtId="164" fontId="0" fillId="0" borderId="12" xfId="0" applyNumberFormat="1" applyBorder="1" applyAlignment="1">
      <alignment horizontal="center"/>
    </xf>
    <xf numFmtId="0" fontId="3" fillId="0" borderId="0" xfId="0" applyFont="1" applyBorder="1" applyAlignment="1">
      <alignment horizontal="center" wrapText="1"/>
    </xf>
    <xf numFmtId="1" fontId="0" fillId="0" borderId="0" xfId="0" applyNumberFormat="1" applyAlignment="1">
      <alignment horizontal="center"/>
    </xf>
    <xf numFmtId="1" fontId="0" fillId="0" borderId="0" xfId="0" applyNumberFormat="1" applyFont="1" applyAlignment="1" applyProtection="1">
      <alignment horizontal="center"/>
      <protection locked="0"/>
    </xf>
    <xf numFmtId="0" fontId="0" fillId="0" borderId="0" xfId="0" applyNumberFormat="1" applyFont="1" applyAlignment="1" applyProtection="1">
      <alignment horizontal="center"/>
      <protection locked="0"/>
    </xf>
    <xf numFmtId="164" fontId="0" fillId="0" borderId="0" xfId="0" applyNumberFormat="1" applyFont="1" applyAlignment="1" applyProtection="1">
      <alignment horizontal="center"/>
      <protection locked="0"/>
    </xf>
    <xf numFmtId="0" fontId="0" fillId="0" borderId="0" xfId="0" applyAlignment="1">
      <alignment vertical="top" wrapText="1"/>
    </xf>
    <xf numFmtId="1" fontId="0" fillId="0" borderId="10" xfId="0" applyNumberFormat="1" applyBorder="1" applyAlignment="1">
      <alignment horizontal="center"/>
    </xf>
    <xf numFmtId="1" fontId="0" fillId="0" borderId="11" xfId="0" applyNumberFormat="1" applyBorder="1" applyAlignment="1">
      <alignment horizontal="center"/>
    </xf>
    <xf numFmtId="1" fontId="0" fillId="0" borderId="9" xfId="0" applyNumberFormat="1" applyBorder="1" applyAlignment="1">
      <alignment horizontal="center"/>
    </xf>
    <xf numFmtId="0" fontId="0" fillId="0" borderId="15" xfId="0" applyBorder="1" applyAlignment="1">
      <alignment horizontal="right"/>
    </xf>
    <xf numFmtId="0" fontId="4" fillId="0" borderId="16" xfId="0" applyFont="1" applyBorder="1" applyAlignment="1">
      <alignment horizontal="center"/>
    </xf>
    <xf numFmtId="8" fontId="5" fillId="0" borderId="2" xfId="0" applyNumberFormat="1" applyFont="1" applyBorder="1" applyAlignment="1">
      <alignment horizontal="center"/>
    </xf>
    <xf numFmtId="6" fontId="5" fillId="0" borderId="2" xfId="0" applyNumberFormat="1" applyFont="1" applyBorder="1" applyAlignment="1">
      <alignment horizontal="center"/>
    </xf>
    <xf numFmtId="0" fontId="0" fillId="0" borderId="5" xfId="0" applyBorder="1" applyAlignment="1">
      <alignment horizontal="right"/>
    </xf>
    <xf numFmtId="8" fontId="5" fillId="0" borderId="4" xfId="0" applyNumberFormat="1" applyFont="1" applyBorder="1" applyAlignment="1">
      <alignment horizontal="center"/>
    </xf>
    <xf numFmtId="0" fontId="3" fillId="0" borderId="0" xfId="0" applyFont="1" applyAlignment="1">
      <alignment/>
    </xf>
    <xf numFmtId="164" fontId="0" fillId="0" borderId="0" xfId="0" applyNumberFormat="1" applyAlignment="1" applyProtection="1">
      <alignment/>
      <protection locked="0"/>
    </xf>
    <xf numFmtId="167" fontId="4" fillId="0" borderId="2" xfId="17" applyNumberFormat="1" applyFont="1" applyBorder="1" applyAlignment="1">
      <alignment/>
    </xf>
    <xf numFmtId="0" fontId="3" fillId="0" borderId="17" xfId="0" applyFont="1" applyBorder="1" applyAlignment="1">
      <alignment horizontal="center"/>
    </xf>
    <xf numFmtId="8" fontId="5" fillId="0" borderId="18" xfId="0" applyNumberFormat="1" applyFont="1" applyBorder="1" applyAlignment="1">
      <alignment horizontal="center"/>
    </xf>
    <xf numFmtId="8" fontId="5" fillId="0" borderId="19" xfId="0" applyNumberFormat="1" applyFont="1" applyBorder="1" applyAlignment="1">
      <alignment horizontal="center"/>
    </xf>
    <xf numFmtId="43" fontId="0" fillId="0" borderId="0" xfId="0" applyNumberFormat="1" applyAlignment="1">
      <alignment/>
    </xf>
    <xf numFmtId="0" fontId="0" fillId="0" borderId="7" xfId="0" applyBorder="1" applyAlignment="1">
      <alignment horizontal="right"/>
    </xf>
    <xf numFmtId="0" fontId="0" fillId="0" borderId="7" xfId="0" applyBorder="1" applyAlignment="1">
      <alignment horizontal="center"/>
    </xf>
    <xf numFmtId="165" fontId="0" fillId="0" borderId="0" xfId="0" applyNumberFormat="1" applyAlignment="1" applyProtection="1">
      <alignment horizontal="center"/>
      <protection locked="0"/>
    </xf>
    <xf numFmtId="165" fontId="5" fillId="0" borderId="0" xfId="0" applyNumberFormat="1" applyFont="1" applyAlignment="1">
      <alignment horizontal="center"/>
    </xf>
    <xf numFmtId="0" fontId="2"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right"/>
    </xf>
    <xf numFmtId="0" fontId="5" fillId="0" borderId="6" xfId="0" applyFont="1" applyBorder="1" applyAlignment="1">
      <alignment horizontal="right"/>
    </xf>
    <xf numFmtId="0" fontId="2" fillId="0" borderId="1" xfId="0" applyFont="1" applyBorder="1" applyAlignment="1">
      <alignment horizontal="center"/>
    </xf>
    <xf numFmtId="0" fontId="3" fillId="0" borderId="2" xfId="0" applyFont="1" applyBorder="1" applyAlignment="1">
      <alignment horizontal="center" wrapText="1"/>
    </xf>
    <xf numFmtId="0" fontId="0" fillId="0" borderId="1" xfId="0" applyFont="1" applyBorder="1" applyAlignment="1">
      <alignment horizontal="center"/>
    </xf>
    <xf numFmtId="164" fontId="0" fillId="0" borderId="2" xfId="0" applyNumberFormat="1" applyBorder="1" applyAlignment="1">
      <alignment horizontal="center"/>
    </xf>
    <xf numFmtId="0" fontId="0" fillId="0" borderId="5" xfId="0" applyBorder="1" applyAlignment="1">
      <alignment horizontal="center"/>
    </xf>
    <xf numFmtId="164" fontId="0" fillId="0" borderId="6" xfId="0" applyNumberFormat="1" applyBorder="1" applyAlignment="1">
      <alignment horizontal="center"/>
    </xf>
    <xf numFmtId="8" fontId="0" fillId="0" borderId="6" xfId="0" applyNumberFormat="1" applyBorder="1" applyAlignment="1">
      <alignment/>
    </xf>
    <xf numFmtId="164" fontId="0" fillId="0" borderId="14" xfId="0" applyNumberFormat="1" applyBorder="1" applyAlignment="1">
      <alignment horizontal="center"/>
    </xf>
    <xf numFmtId="164" fontId="0" fillId="0" borderId="4" xfId="0" applyNumberFormat="1" applyBorder="1" applyAlignment="1">
      <alignment horizontal="center"/>
    </xf>
    <xf numFmtId="9" fontId="0" fillId="0" borderId="0" xfId="0" applyNumberFormat="1" applyAlignment="1">
      <alignment/>
    </xf>
    <xf numFmtId="0" fontId="0" fillId="0" borderId="0" xfId="0" applyAlignment="1">
      <alignment/>
    </xf>
    <xf numFmtId="0" fontId="0" fillId="0" borderId="1" xfId="0" applyBorder="1" applyAlignment="1">
      <alignment horizontal="left"/>
    </xf>
    <xf numFmtId="164" fontId="0" fillId="0" borderId="2" xfId="0" applyNumberFormat="1" applyBorder="1" applyAlignment="1">
      <alignment/>
    </xf>
    <xf numFmtId="164" fontId="5" fillId="0" borderId="4" xfId="0" applyNumberFormat="1" applyFont="1" applyBorder="1" applyAlignment="1">
      <alignment/>
    </xf>
    <xf numFmtId="164" fontId="0" fillId="0" borderId="8" xfId="0" applyNumberFormat="1" applyBorder="1" applyAlignment="1">
      <alignment/>
    </xf>
    <xf numFmtId="164" fontId="0" fillId="0" borderId="1" xfId="0" applyNumberFormat="1" applyBorder="1" applyAlignment="1">
      <alignment/>
    </xf>
    <xf numFmtId="43" fontId="3" fillId="0" borderId="1" xfId="0" applyNumberFormat="1" applyFont="1" applyBorder="1" applyAlignment="1">
      <alignment horizontal="left"/>
    </xf>
    <xf numFmtId="168" fontId="0" fillId="0" borderId="0" xfId="0" applyNumberFormat="1" applyAlignment="1">
      <alignment/>
    </xf>
    <xf numFmtId="167" fontId="0" fillId="0" borderId="0" xfId="0" applyNumberFormat="1" applyAlignment="1">
      <alignment/>
    </xf>
    <xf numFmtId="176" fontId="0" fillId="0" borderId="0" xfId="0" applyNumberFormat="1" applyAlignment="1">
      <alignment horizontal="center"/>
    </xf>
    <xf numFmtId="0" fontId="2" fillId="0" borderId="0" xfId="0" applyFont="1" applyAlignment="1">
      <alignment horizontal="left"/>
    </xf>
    <xf numFmtId="168" fontId="0" fillId="0" borderId="0" xfId="0" applyNumberFormat="1" applyAlignment="1">
      <alignment horizontal="center"/>
    </xf>
    <xf numFmtId="8" fontId="0" fillId="0" borderId="0" xfId="0" applyNumberFormat="1" applyAlignment="1">
      <alignment horizontal="center"/>
    </xf>
    <xf numFmtId="0" fontId="0" fillId="0" borderId="12" xfId="0" applyBorder="1" applyAlignment="1" applyProtection="1">
      <alignment horizontal="center"/>
      <protection locked="0"/>
    </xf>
    <xf numFmtId="167" fontId="2" fillId="0" borderId="8" xfId="17" applyNumberFormat="1" applyFont="1" applyBorder="1" applyAlignment="1" applyProtection="1">
      <alignment/>
      <protection locked="0"/>
    </xf>
    <xf numFmtId="0" fontId="0" fillId="2" borderId="20" xfId="0" applyFill="1" applyBorder="1" applyAlignment="1">
      <alignment horizontal="right"/>
    </xf>
    <xf numFmtId="10" fontId="2" fillId="0" borderId="21" xfId="0" applyNumberFormat="1" applyFont="1" applyBorder="1" applyAlignment="1" applyProtection="1">
      <alignment horizontal="center"/>
      <protection locked="0"/>
    </xf>
    <xf numFmtId="0" fontId="0" fillId="2" borderId="9" xfId="0" applyFill="1" applyBorder="1" applyAlignment="1">
      <alignment horizontal="right"/>
    </xf>
    <xf numFmtId="168" fontId="2" fillId="0" borderId="12" xfId="0" applyNumberFormat="1" applyFont="1" applyBorder="1" applyAlignment="1" applyProtection="1">
      <alignment horizontal="center"/>
      <protection locked="0"/>
    </xf>
    <xf numFmtId="165" fontId="2" fillId="0" borderId="12" xfId="0" applyNumberFormat="1" applyFont="1" applyBorder="1" applyAlignment="1" applyProtection="1">
      <alignment horizontal="center"/>
      <protection locked="0"/>
    </xf>
    <xf numFmtId="164" fontId="0" fillId="2" borderId="9" xfId="0" applyNumberFormat="1" applyFill="1" applyBorder="1" applyAlignment="1">
      <alignment horizontal="right"/>
    </xf>
    <xf numFmtId="165" fontId="5" fillId="0" borderId="12" xfId="0" applyNumberFormat="1" applyFont="1" applyBorder="1" applyAlignment="1" applyProtection="1">
      <alignment horizontal="center"/>
      <protection/>
    </xf>
    <xf numFmtId="0" fontId="0" fillId="2" borderId="10" xfId="0" applyFill="1" applyBorder="1" applyAlignment="1">
      <alignment horizontal="right"/>
    </xf>
    <xf numFmtId="0" fontId="2" fillId="0" borderId="13" xfId="0" applyFont="1" applyBorder="1" applyAlignment="1" applyProtection="1">
      <alignment horizontal="center"/>
      <protection locked="0"/>
    </xf>
    <xf numFmtId="6" fontId="2" fillId="0" borderId="12" xfId="0" applyNumberFormat="1" applyFont="1" applyBorder="1" applyAlignment="1" applyProtection="1">
      <alignment horizontal="center"/>
      <protection locked="0"/>
    </xf>
    <xf numFmtId="9" fontId="2" fillId="0" borderId="13" xfId="0" applyNumberFormat="1" applyFont="1" applyBorder="1" applyAlignment="1" applyProtection="1">
      <alignment horizontal="center"/>
      <protection locked="0"/>
    </xf>
    <xf numFmtId="0" fontId="0" fillId="2" borderId="1" xfId="0" applyFill="1" applyBorder="1" applyAlignment="1">
      <alignment horizontal="right"/>
    </xf>
    <xf numFmtId="168" fontId="2" fillId="0" borderId="2" xfId="0" applyNumberFormat="1" applyFont="1" applyBorder="1" applyAlignment="1" applyProtection="1">
      <alignment horizontal="center"/>
      <protection locked="0"/>
    </xf>
    <xf numFmtId="9" fontId="2" fillId="0" borderId="2" xfId="0" applyNumberFormat="1" applyFont="1" applyBorder="1" applyAlignment="1" applyProtection="1">
      <alignment horizontal="center"/>
      <protection locked="0"/>
    </xf>
    <xf numFmtId="176" fontId="2" fillId="0" borderId="2" xfId="0" applyNumberFormat="1" applyFont="1" applyBorder="1" applyAlignment="1" applyProtection="1">
      <alignment horizontal="center"/>
      <protection locked="0"/>
    </xf>
    <xf numFmtId="0" fontId="0" fillId="2" borderId="3" xfId="0" applyFill="1" applyBorder="1" applyAlignment="1">
      <alignment horizontal="right"/>
    </xf>
    <xf numFmtId="0" fontId="2" fillId="0" borderId="8" xfId="0" applyFont="1" applyBorder="1" applyAlignment="1" applyProtection="1">
      <alignment horizontal="center"/>
      <protection locked="0"/>
    </xf>
    <xf numFmtId="0" fontId="0" fillId="0" borderId="1" xfId="0" applyFill="1" applyBorder="1" applyAlignment="1">
      <alignment horizontal="right"/>
    </xf>
    <xf numFmtId="168" fontId="4" fillId="0" borderId="2" xfId="0" applyNumberFormat="1" applyFont="1" applyBorder="1" applyAlignment="1">
      <alignment horizontal="center"/>
    </xf>
    <xf numFmtId="168" fontId="5" fillId="0" borderId="4" xfId="0" applyNumberFormat="1" applyFont="1" applyBorder="1" applyAlignment="1">
      <alignment horizontal="center"/>
    </xf>
    <xf numFmtId="0" fontId="0" fillId="0" borderId="0" xfId="0" applyBorder="1" applyAlignment="1">
      <alignment/>
    </xf>
    <xf numFmtId="164" fontId="5" fillId="0" borderId="0" xfId="0" applyNumberFormat="1" applyFont="1" applyBorder="1" applyAlignment="1">
      <alignment horizontal="center"/>
    </xf>
    <xf numFmtId="0" fontId="5" fillId="0" borderId="5" xfId="0" applyFont="1" applyBorder="1" applyAlignment="1">
      <alignment horizontal="right"/>
    </xf>
    <xf numFmtId="0" fontId="12" fillId="0" borderId="15" xfId="0" applyFont="1" applyBorder="1" applyAlignment="1">
      <alignment horizontal="center" vertical="center"/>
    </xf>
    <xf numFmtId="0" fontId="13" fillId="0" borderId="22" xfId="0" applyFont="1" applyBorder="1" applyAlignment="1">
      <alignment horizontal="center"/>
    </xf>
    <xf numFmtId="0" fontId="13" fillId="0" borderId="16" xfId="0" applyFont="1" applyBorder="1" applyAlignment="1">
      <alignment horizontal="center"/>
    </xf>
    <xf numFmtId="0" fontId="9"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 xfId="0" applyBorder="1" applyAlignment="1">
      <alignment/>
    </xf>
    <xf numFmtId="0" fontId="0" fillId="0" borderId="2" xfId="0" applyBorder="1" applyAlignment="1">
      <alignment/>
    </xf>
    <xf numFmtId="0" fontId="2" fillId="3" borderId="15" xfId="0" applyFont="1" applyFill="1" applyBorder="1" applyAlignment="1">
      <alignment horizontal="center"/>
    </xf>
    <xf numFmtId="0" fontId="2" fillId="3" borderId="22" xfId="0" applyFont="1" applyFill="1" applyBorder="1" applyAlignment="1">
      <alignment/>
    </xf>
    <xf numFmtId="0" fontId="0" fillId="0" borderId="22" xfId="0" applyBorder="1" applyAlignment="1">
      <alignment/>
    </xf>
    <xf numFmtId="0" fontId="0" fillId="0" borderId="16" xfId="0" applyBorder="1" applyAlignment="1">
      <alignment/>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2" xfId="0" applyFont="1" applyFill="1" applyBorder="1" applyAlignment="1">
      <alignment horizontal="center"/>
    </xf>
    <xf numFmtId="0" fontId="2" fillId="2" borderId="16"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5.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xdr:colOff>
      <xdr:row>116</xdr:row>
      <xdr:rowOff>76200</xdr:rowOff>
    </xdr:from>
    <xdr:to>
      <xdr:col>13</xdr:col>
      <xdr:colOff>114300</xdr:colOff>
      <xdr:row>129</xdr:row>
      <xdr:rowOff>104775</xdr:rowOff>
    </xdr:to>
    <xdr:pic>
      <xdr:nvPicPr>
        <xdr:cNvPr id="1" name="OptionButton1"/>
        <xdr:cNvPicPr preferRelativeResize="1">
          <a:picLocks noChangeAspect="1"/>
        </xdr:cNvPicPr>
      </xdr:nvPicPr>
      <xdr:blipFill>
        <a:blip r:embed="rId1"/>
        <a:stretch>
          <a:fillRect/>
        </a:stretch>
      </xdr:blipFill>
      <xdr:spPr>
        <a:xfrm>
          <a:off x="8715375" y="5648325"/>
          <a:ext cx="895350" cy="190500"/>
        </a:xfrm>
        <a:prstGeom prst="rect">
          <a:avLst/>
        </a:prstGeom>
        <a:noFill/>
        <a:ln w="9525" cmpd="sng">
          <a:noFill/>
        </a:ln>
      </xdr:spPr>
    </xdr:pic>
    <xdr:clientData/>
  </xdr:twoCellAnchor>
  <xdr:twoCellAnchor editAs="oneCell">
    <xdr:from>
      <xdr:col>12</xdr:col>
      <xdr:colOff>47625</xdr:colOff>
      <xdr:row>129</xdr:row>
      <xdr:rowOff>85725</xdr:rowOff>
    </xdr:from>
    <xdr:to>
      <xdr:col>13</xdr:col>
      <xdr:colOff>114300</xdr:colOff>
      <xdr:row>130</xdr:row>
      <xdr:rowOff>152400</xdr:rowOff>
    </xdr:to>
    <xdr:pic>
      <xdr:nvPicPr>
        <xdr:cNvPr id="2" name="OptionButton2"/>
        <xdr:cNvPicPr preferRelativeResize="1">
          <a:picLocks noChangeAspect="1"/>
        </xdr:cNvPicPr>
      </xdr:nvPicPr>
      <xdr:blipFill>
        <a:blip r:embed="rId2"/>
        <a:stretch>
          <a:fillRect/>
        </a:stretch>
      </xdr:blipFill>
      <xdr:spPr>
        <a:xfrm>
          <a:off x="8715375" y="5819775"/>
          <a:ext cx="895350" cy="228600"/>
        </a:xfrm>
        <a:prstGeom prst="rect">
          <a:avLst/>
        </a:prstGeom>
        <a:noFill/>
        <a:ln w="9525" cmpd="sng">
          <a:noFill/>
        </a:ln>
      </xdr:spPr>
    </xdr:pic>
    <xdr:clientData/>
  </xdr:twoCellAnchor>
  <xdr:twoCellAnchor>
    <xdr:from>
      <xdr:col>4</xdr:col>
      <xdr:colOff>47625</xdr:colOff>
      <xdr:row>0</xdr:row>
      <xdr:rowOff>114300</xdr:rowOff>
    </xdr:from>
    <xdr:to>
      <xdr:col>9</xdr:col>
      <xdr:colOff>38100</xdr:colOff>
      <xdr:row>1</xdr:row>
      <xdr:rowOff>85725</xdr:rowOff>
    </xdr:to>
    <xdr:sp>
      <xdr:nvSpPr>
        <xdr:cNvPr id="3" name="TextBox 18"/>
        <xdr:cNvSpPr txBox="1">
          <a:spLocks noChangeArrowheads="1"/>
        </xdr:cNvSpPr>
      </xdr:nvSpPr>
      <xdr:spPr>
        <a:xfrm>
          <a:off x="3209925" y="114300"/>
          <a:ext cx="27241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Adam Schwartz, adam@schwartz-home.com</a:t>
          </a:r>
        </a:p>
      </xdr:txBody>
    </xdr:sp>
    <xdr:clientData/>
  </xdr:twoCellAnchor>
  <xdr:twoCellAnchor editAs="oneCell">
    <xdr:from>
      <xdr:col>13</xdr:col>
      <xdr:colOff>66675</xdr:colOff>
      <xdr:row>7</xdr:row>
      <xdr:rowOff>47625</xdr:rowOff>
    </xdr:from>
    <xdr:to>
      <xdr:col>13</xdr:col>
      <xdr:colOff>914400</xdr:colOff>
      <xdr:row>10</xdr:row>
      <xdr:rowOff>9525</xdr:rowOff>
    </xdr:to>
    <xdr:pic>
      <xdr:nvPicPr>
        <xdr:cNvPr id="4" name="ToggleButton1"/>
        <xdr:cNvPicPr preferRelativeResize="1">
          <a:picLocks noChangeAspect="1"/>
        </xdr:cNvPicPr>
      </xdr:nvPicPr>
      <xdr:blipFill>
        <a:blip r:embed="rId3"/>
        <a:stretch>
          <a:fillRect/>
        </a:stretch>
      </xdr:blipFill>
      <xdr:spPr>
        <a:xfrm>
          <a:off x="9563100" y="1352550"/>
          <a:ext cx="847725" cy="447675"/>
        </a:xfrm>
        <a:prstGeom prst="rect">
          <a:avLst/>
        </a:prstGeom>
        <a:noFill/>
        <a:ln w="9525" cmpd="sng">
          <a:noFill/>
        </a:ln>
      </xdr:spPr>
    </xdr:pic>
    <xdr:clientData/>
  </xdr:twoCellAnchor>
  <xdr:twoCellAnchor editAs="oneCell">
    <xdr:from>
      <xdr:col>13</xdr:col>
      <xdr:colOff>57150</xdr:colOff>
      <xdr:row>11</xdr:row>
      <xdr:rowOff>38100</xdr:rowOff>
    </xdr:from>
    <xdr:to>
      <xdr:col>13</xdr:col>
      <xdr:colOff>895350</xdr:colOff>
      <xdr:row>14</xdr:row>
      <xdr:rowOff>0</xdr:rowOff>
    </xdr:to>
    <xdr:pic>
      <xdr:nvPicPr>
        <xdr:cNvPr id="5" name="ToggleButton2"/>
        <xdr:cNvPicPr preferRelativeResize="1">
          <a:picLocks noChangeAspect="1"/>
        </xdr:cNvPicPr>
      </xdr:nvPicPr>
      <xdr:blipFill>
        <a:blip r:embed="rId4"/>
        <a:stretch>
          <a:fillRect/>
        </a:stretch>
      </xdr:blipFill>
      <xdr:spPr>
        <a:xfrm>
          <a:off x="9553575" y="2000250"/>
          <a:ext cx="838200" cy="457200"/>
        </a:xfrm>
        <a:prstGeom prst="rect">
          <a:avLst/>
        </a:prstGeom>
        <a:noFill/>
        <a:ln w="9525" cmpd="sng">
          <a:noFill/>
        </a:ln>
      </xdr:spPr>
    </xdr:pic>
    <xdr:clientData/>
  </xdr:twoCellAnchor>
  <xdr:twoCellAnchor editAs="oneCell">
    <xdr:from>
      <xdr:col>13</xdr:col>
      <xdr:colOff>85725</xdr:colOff>
      <xdr:row>101</xdr:row>
      <xdr:rowOff>142875</xdr:rowOff>
    </xdr:from>
    <xdr:to>
      <xdr:col>13</xdr:col>
      <xdr:colOff>790575</xdr:colOff>
      <xdr:row>115</xdr:row>
      <xdr:rowOff>47625</xdr:rowOff>
    </xdr:to>
    <xdr:pic>
      <xdr:nvPicPr>
        <xdr:cNvPr id="6" name="RentOrOwn"/>
        <xdr:cNvPicPr preferRelativeResize="1">
          <a:picLocks noChangeAspect="1"/>
        </xdr:cNvPicPr>
      </xdr:nvPicPr>
      <xdr:blipFill>
        <a:blip r:embed="rId5"/>
        <a:stretch>
          <a:fillRect/>
        </a:stretch>
      </xdr:blipFill>
      <xdr:spPr>
        <a:xfrm>
          <a:off x="9582150" y="5219700"/>
          <a:ext cx="704850" cy="228600"/>
        </a:xfrm>
        <a:prstGeom prst="rect">
          <a:avLst/>
        </a:prstGeom>
        <a:noFill/>
        <a:ln w="9525" cmpd="sng">
          <a:noFill/>
        </a:ln>
      </xdr:spPr>
    </xdr:pic>
    <xdr:clientData/>
  </xdr:twoCellAnchor>
  <xdr:twoCellAnchor editAs="oneCell">
    <xdr:from>
      <xdr:col>13</xdr:col>
      <xdr:colOff>66675</xdr:colOff>
      <xdr:row>115</xdr:row>
      <xdr:rowOff>28575</xdr:rowOff>
    </xdr:from>
    <xdr:to>
      <xdr:col>13</xdr:col>
      <xdr:colOff>733425</xdr:colOff>
      <xdr:row>116</xdr:row>
      <xdr:rowOff>85725</xdr:rowOff>
    </xdr:to>
    <xdr:pic>
      <xdr:nvPicPr>
        <xdr:cNvPr id="7" name="OptionButton3"/>
        <xdr:cNvPicPr preferRelativeResize="1">
          <a:picLocks noChangeAspect="1"/>
        </xdr:cNvPicPr>
      </xdr:nvPicPr>
      <xdr:blipFill>
        <a:blip r:embed="rId6"/>
        <a:stretch>
          <a:fillRect/>
        </a:stretch>
      </xdr:blipFill>
      <xdr:spPr>
        <a:xfrm>
          <a:off x="9563100" y="5429250"/>
          <a:ext cx="666750" cy="228600"/>
        </a:xfrm>
        <a:prstGeom prst="rect">
          <a:avLst/>
        </a:prstGeom>
        <a:noFill/>
        <a:ln w="9525" cmpd="sng">
          <a:noFill/>
        </a:ln>
      </xdr:spPr>
    </xdr:pic>
    <xdr:clientData/>
  </xdr:twoCellAnchor>
  <xdr:twoCellAnchor>
    <xdr:from>
      <xdr:col>11</xdr:col>
      <xdr:colOff>619125</xdr:colOff>
      <xdr:row>172</xdr:row>
      <xdr:rowOff>0</xdr:rowOff>
    </xdr:from>
    <xdr:to>
      <xdr:col>15</xdr:col>
      <xdr:colOff>123825</xdr:colOff>
      <xdr:row>200</xdr:row>
      <xdr:rowOff>133350</xdr:rowOff>
    </xdr:to>
    <xdr:sp>
      <xdr:nvSpPr>
        <xdr:cNvPr id="8" name="TextBox 38"/>
        <xdr:cNvSpPr txBox="1">
          <a:spLocks noChangeArrowheads="1"/>
        </xdr:cNvSpPr>
      </xdr:nvSpPr>
      <xdr:spPr>
        <a:xfrm>
          <a:off x="7620000" y="6867525"/>
          <a:ext cx="332422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FF"/>
              </a:solidFill>
              <a:latin typeface="Arial"/>
              <a:ea typeface="Arial"/>
              <a:cs typeface="Arial"/>
            </a:rPr>
            <a:t>You can deduct interest payments for home purchase loans up to $1M.  Any amount after that is not deductible.  This spreadsheet does not check for that possibility!</a:t>
          </a:r>
        </a:p>
      </xdr:txBody>
    </xdr:sp>
    <xdr:clientData/>
  </xdr:twoCellAnchor>
  <xdr:twoCellAnchor editAs="oneCell">
    <xdr:from>
      <xdr:col>14</xdr:col>
      <xdr:colOff>323850</xdr:colOff>
      <xdr:row>59</xdr:row>
      <xdr:rowOff>104775</xdr:rowOff>
    </xdr:from>
    <xdr:to>
      <xdr:col>16</xdr:col>
      <xdr:colOff>38100</xdr:colOff>
      <xdr:row>73</xdr:row>
      <xdr:rowOff>57150</xdr:rowOff>
    </xdr:to>
    <xdr:pic>
      <xdr:nvPicPr>
        <xdr:cNvPr id="9" name="ToggleButton3"/>
        <xdr:cNvPicPr preferRelativeResize="1">
          <a:picLocks noChangeAspect="1"/>
        </xdr:cNvPicPr>
      </xdr:nvPicPr>
      <xdr:blipFill>
        <a:blip r:embed="rId7"/>
        <a:stretch>
          <a:fillRect/>
        </a:stretch>
      </xdr:blipFill>
      <xdr:spPr>
        <a:xfrm>
          <a:off x="10734675" y="4210050"/>
          <a:ext cx="9715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Q441"/>
  <sheetViews>
    <sheetView tabSelected="1" zoomScale="85" zoomScaleNormal="85" workbookViewId="0" topLeftCell="A1">
      <selection activeCell="B4" sqref="B4"/>
    </sheetView>
  </sheetViews>
  <sheetFormatPr defaultColWidth="9.140625" defaultRowHeight="12.75"/>
  <cols>
    <col min="1" max="1" width="19.421875" style="1" customWidth="1"/>
    <col min="2" max="2" width="14.28125" style="1" bestFit="1" customWidth="1"/>
    <col min="3" max="3" width="13.7109375" style="0" customWidth="1"/>
    <col min="4" max="4" width="13.140625" style="0" hidden="1" customWidth="1"/>
    <col min="5" max="5" width="24.8515625" style="1" customWidth="1"/>
    <col min="6" max="6" width="16.140625" style="1" customWidth="1"/>
    <col min="7" max="8" width="16.140625" style="1" hidden="1" customWidth="1"/>
    <col min="9" max="9" width="13.421875" style="1" hidden="1" customWidth="1"/>
    <col min="10" max="10" width="15.57421875" style="1" customWidth="1"/>
    <col min="11" max="11" width="0.9921875" style="1" customWidth="1"/>
    <col min="12" max="12" width="25.00390625" style="0" customWidth="1"/>
    <col min="13" max="13" width="12.421875" style="0" bestFit="1" customWidth="1"/>
    <col min="14" max="14" width="13.7109375" style="0" customWidth="1"/>
    <col min="15" max="15" width="6.140625" style="0" customWidth="1"/>
    <col min="16" max="16" width="12.7109375" style="0" bestFit="1" customWidth="1"/>
    <col min="17" max="17" width="12.57421875" style="0" customWidth="1"/>
  </cols>
  <sheetData>
    <row r="1" ht="16.5" thickBot="1">
      <c r="A1" s="87" t="s">
        <v>101</v>
      </c>
    </row>
    <row r="2" spans="1:13" s="62" customFormat="1" ht="15.75">
      <c r="A2" s="181" t="s">
        <v>182</v>
      </c>
      <c r="B2" s="182"/>
      <c r="L2" s="181" t="s">
        <v>100</v>
      </c>
      <c r="M2" s="182"/>
    </row>
    <row r="3" spans="1:13" ht="19.5" customHeight="1">
      <c r="A3" s="166" t="s">
        <v>30</v>
      </c>
      <c r="B3" s="167">
        <v>1200000</v>
      </c>
      <c r="G3" s="101"/>
      <c r="H3" s="101"/>
      <c r="L3" s="79" t="s">
        <v>65</v>
      </c>
      <c r="M3" s="80">
        <f ca="1">OFFSET(A18,$I$4,1)</f>
        <v>537035.2731659852</v>
      </c>
    </row>
    <row r="4" spans="1:13" ht="12.75">
      <c r="A4" s="166" t="s">
        <v>32</v>
      </c>
      <c r="B4" s="168">
        <v>0.3</v>
      </c>
      <c r="E4" s="155" t="s">
        <v>37</v>
      </c>
      <c r="F4" s="156">
        <v>0.0115</v>
      </c>
      <c r="G4" s="102"/>
      <c r="H4" s="101" t="s">
        <v>113</v>
      </c>
      <c r="I4" s="103">
        <f>MATCH("Year "&amp;TEXT(F13,"#"),A18:A438,0)+12</f>
        <v>140</v>
      </c>
      <c r="J4" s="3"/>
      <c r="K4" s="3"/>
      <c r="L4" s="79" t="s">
        <v>66</v>
      </c>
      <c r="M4" s="80">
        <f ca="1">OFFSET(A18,$I$4,2)</f>
        <v>123471.60817477448</v>
      </c>
    </row>
    <row r="5" spans="1:13" ht="12.75">
      <c r="A5" s="166" t="s">
        <v>1</v>
      </c>
      <c r="B5" s="169">
        <v>0.0675</v>
      </c>
      <c r="E5" s="157" t="s">
        <v>38</v>
      </c>
      <c r="F5" s="158">
        <f>0.002*B3</f>
        <v>2400</v>
      </c>
      <c r="G5" s="102"/>
      <c r="H5" s="101"/>
      <c r="I5" s="70"/>
      <c r="J5" s="12"/>
      <c r="K5" s="12"/>
      <c r="L5" s="14" t="s">
        <v>68</v>
      </c>
      <c r="M5" s="80">
        <f>(F5+F6)*F13</f>
        <v>60000</v>
      </c>
    </row>
    <row r="6" spans="1:14" ht="12.75">
      <c r="A6" s="166" t="s">
        <v>122</v>
      </c>
      <c r="B6" s="169">
        <v>0.008</v>
      </c>
      <c r="E6" s="157" t="s">
        <v>39</v>
      </c>
      <c r="F6" s="158">
        <f>0.003*B3</f>
        <v>3600</v>
      </c>
      <c r="G6" s="102"/>
      <c r="H6" s="101"/>
      <c r="I6" s="70"/>
      <c r="J6" s="12"/>
      <c r="K6" s="12"/>
      <c r="L6" s="14" t="s">
        <v>67</v>
      </c>
      <c r="M6" s="80">
        <f>B3*F4*F13</f>
        <v>138000</v>
      </c>
      <c r="N6" s="5"/>
    </row>
    <row r="7" spans="1:16" ht="12.75">
      <c r="A7" s="170" t="s">
        <v>2</v>
      </c>
      <c r="B7" s="171">
        <v>30</v>
      </c>
      <c r="C7" s="139"/>
      <c r="E7" s="157" t="s">
        <v>181</v>
      </c>
      <c r="F7" s="158">
        <f>0.014*B9</f>
        <v>11760</v>
      </c>
      <c r="G7" s="102"/>
      <c r="H7" s="101"/>
      <c r="I7" s="72"/>
      <c r="J7" s="10"/>
      <c r="K7" s="10"/>
      <c r="L7" s="14" t="s">
        <v>31</v>
      </c>
      <c r="M7" s="80">
        <f>B8</f>
        <v>360000</v>
      </c>
      <c r="N7" s="5"/>
      <c r="P7" s="147"/>
    </row>
    <row r="8" spans="1:14" ht="12.75">
      <c r="A8" s="172" t="s">
        <v>31</v>
      </c>
      <c r="B8" s="173">
        <f>B3*B4</f>
        <v>360000</v>
      </c>
      <c r="E8" s="157" t="s">
        <v>42</v>
      </c>
      <c r="F8" s="159">
        <v>0.05</v>
      </c>
      <c r="G8" s="102"/>
      <c r="H8" s="101"/>
      <c r="I8" s="74"/>
      <c r="J8" s="10"/>
      <c r="K8" s="10"/>
      <c r="L8" s="18" t="s">
        <v>69</v>
      </c>
      <c r="M8" s="81">
        <f ca="1">(B8+F7+B10)*((1+F10*(1-F12))^F13-1)+IF(N9,SUM(H32:OFFSET(H32,I4,0)),0)</f>
        <v>351777.7040190914</v>
      </c>
      <c r="N8" s="5"/>
    </row>
    <row r="9" spans="1:14" ht="12.75">
      <c r="A9" s="172" t="s">
        <v>0</v>
      </c>
      <c r="B9" s="173">
        <f>B3-B8</f>
        <v>840000</v>
      </c>
      <c r="E9" s="157" t="s">
        <v>96</v>
      </c>
      <c r="F9" s="159">
        <v>0.03</v>
      </c>
      <c r="G9" s="102"/>
      <c r="H9" s="101"/>
      <c r="I9" s="71"/>
      <c r="J9" s="7"/>
      <c r="K9" s="7"/>
      <c r="L9" s="14" t="s">
        <v>35</v>
      </c>
      <c r="M9" s="80">
        <f>MAX(0,(M3+M6-M47*M89*F13)*F11)</f>
        <v>203538.2268997047</v>
      </c>
      <c r="N9" s="78" t="b">
        <v>1</v>
      </c>
    </row>
    <row r="10" spans="1:13" ht="12.75">
      <c r="A10" s="14" t="s">
        <v>148</v>
      </c>
      <c r="B10" s="173">
        <f>Points*B9</f>
        <v>6720</v>
      </c>
      <c r="E10" s="157" t="s">
        <v>109</v>
      </c>
      <c r="F10" s="159">
        <v>0.08</v>
      </c>
      <c r="G10" s="102"/>
      <c r="H10" s="101"/>
      <c r="I10" s="74"/>
      <c r="J10" s="10"/>
      <c r="K10" s="10"/>
      <c r="L10" s="14" t="s">
        <v>71</v>
      </c>
      <c r="M10" s="80">
        <f>FV(F15,F13,-F14*12)</f>
        <v>481482.9310817705</v>
      </c>
    </row>
    <row r="11" spans="1:13" ht="13.5" thickBot="1">
      <c r="A11" s="113" t="s">
        <v>178</v>
      </c>
      <c r="B11" s="174">
        <f>B8+B10+F7</f>
        <v>378480</v>
      </c>
      <c r="E11" s="160" t="s">
        <v>129</v>
      </c>
      <c r="F11" s="161">
        <f>Fed_marginal_rate+State_marginal_rate</f>
        <v>0.34299999999999997</v>
      </c>
      <c r="G11" s="102"/>
      <c r="H11" s="104"/>
      <c r="I11" s="74"/>
      <c r="J11" s="7"/>
      <c r="K11" s="7"/>
      <c r="L11" s="14" t="s">
        <v>43</v>
      </c>
      <c r="M11" s="80">
        <f>B3*(1+F9)^F13</f>
        <v>1612699.6552129462</v>
      </c>
    </row>
    <row r="12" spans="1:13" ht="13.5" thickBot="1">
      <c r="A12" s="109" t="s">
        <v>34</v>
      </c>
      <c r="B12" s="110">
        <f>B7*12</f>
        <v>360</v>
      </c>
      <c r="E12" s="160" t="s">
        <v>137</v>
      </c>
      <c r="F12" s="161">
        <f>0.2+State_marginal_rate</f>
        <v>0.29300000000000004</v>
      </c>
      <c r="G12" s="102"/>
      <c r="H12" s="102"/>
      <c r="I12" s="70"/>
      <c r="J12" s="7"/>
      <c r="K12" s="7"/>
      <c r="L12" s="14" t="s">
        <v>64</v>
      </c>
      <c r="M12" s="55">
        <f>B9-M4</f>
        <v>716528.3918252256</v>
      </c>
    </row>
    <row r="13" spans="1:15" ht="12.75">
      <c r="A13" s="14" t="s">
        <v>33</v>
      </c>
      <c r="B13" s="111">
        <f>-(B5/12)*B9/(1-(1+B5/12)^B12)+(B5/12)*B9</f>
        <v>5448.224011172997</v>
      </c>
      <c r="C13" s="118" t="str">
        <f>"after "&amp;TEXT(F13,"0")&amp;" years"</f>
        <v>after 10 years</v>
      </c>
      <c r="E13" s="162" t="s">
        <v>40</v>
      </c>
      <c r="F13" s="163">
        <v>10</v>
      </c>
      <c r="G13" s="102"/>
      <c r="H13" s="102"/>
      <c r="I13" s="73"/>
      <c r="J13" s="4"/>
      <c r="K13" s="4"/>
      <c r="L13" s="82" t="s">
        <v>44</v>
      </c>
      <c r="M13" s="57">
        <f>F8*M11</f>
        <v>80634.98276064731</v>
      </c>
      <c r="N13" s="116" t="b">
        <v>1</v>
      </c>
      <c r="O13" s="115" t="s">
        <v>135</v>
      </c>
    </row>
    <row r="14" spans="1:13" ht="12.75">
      <c r="A14" s="14" t="s">
        <v>139</v>
      </c>
      <c r="B14" s="112">
        <f>B12*B13-B9+Points*B9</f>
        <v>1128080.644022279</v>
      </c>
      <c r="C14" s="120">
        <f>C15-M4-F7</f>
        <v>537035.2731659852</v>
      </c>
      <c r="E14" s="160" t="s">
        <v>70</v>
      </c>
      <c r="F14" s="164">
        <v>3500</v>
      </c>
      <c r="G14" s="102"/>
      <c r="H14" s="102"/>
      <c r="I14" s="75"/>
      <c r="J14" s="13"/>
      <c r="K14" s="13"/>
      <c r="L14" s="83" t="s">
        <v>72</v>
      </c>
      <c r="M14" s="84">
        <f>SUM(M3:M8)-SUM(M9:M11)+SUM(M12:M13)+F12*MAX(0,(M11-B3-250000*IF(F130,1,2)*N13))</f>
        <v>117398.14572869567</v>
      </c>
    </row>
    <row r="15" spans="1:14" ht="13.5" thickBot="1">
      <c r="A15" s="113" t="s">
        <v>121</v>
      </c>
      <c r="B15" s="114">
        <f>B9+B14+F7</f>
        <v>1979840.644022279</v>
      </c>
      <c r="C15" s="119">
        <f>B13*F13*12+Points*B9+F7</f>
        <v>672266.8813407597</v>
      </c>
      <c r="E15" s="162" t="s">
        <v>106</v>
      </c>
      <c r="F15" s="165">
        <v>0.03</v>
      </c>
      <c r="G15" s="102"/>
      <c r="H15" s="102"/>
      <c r="I15" s="71"/>
      <c r="L15" s="85" t="s">
        <v>93</v>
      </c>
      <c r="M15" s="86">
        <f>M14/F13</f>
        <v>11739.814572869567</v>
      </c>
      <c r="N15" s="115" t="s">
        <v>124</v>
      </c>
    </row>
    <row r="16" spans="5:14" ht="13.5" thickBot="1">
      <c r="E16" s="9"/>
      <c r="F16" s="8"/>
      <c r="G16" s="8"/>
      <c r="H16" s="8"/>
      <c r="I16" s="8"/>
      <c r="J16" s="8"/>
      <c r="K16" s="176"/>
      <c r="N16" s="115" t="s">
        <v>125</v>
      </c>
    </row>
    <row r="17" spans="1:13" ht="12.75" customHeight="1" thickBot="1">
      <c r="A17" s="185" t="s">
        <v>41</v>
      </c>
      <c r="B17" s="186"/>
      <c r="C17" s="186"/>
      <c r="D17" s="186"/>
      <c r="E17" s="186"/>
      <c r="F17" s="186"/>
      <c r="G17" s="187"/>
      <c r="H17" s="187"/>
      <c r="I17" s="187"/>
      <c r="J17" s="188"/>
      <c r="K17" s="175"/>
      <c r="L17" s="181" t="s">
        <v>73</v>
      </c>
      <c r="M17" s="182"/>
    </row>
    <row r="18" spans="1:16" s="1" customFormat="1" ht="38.25">
      <c r="A18" s="130" t="s">
        <v>45</v>
      </c>
      <c r="B18" s="93" t="s">
        <v>15</v>
      </c>
      <c r="C18" s="93" t="s">
        <v>16</v>
      </c>
      <c r="D18" s="100" t="s">
        <v>138</v>
      </c>
      <c r="E18" s="93" t="s">
        <v>35</v>
      </c>
      <c r="F18" s="94" t="s">
        <v>36</v>
      </c>
      <c r="G18" s="100" t="s">
        <v>110</v>
      </c>
      <c r="H18" s="100" t="s">
        <v>111</v>
      </c>
      <c r="I18" s="100" t="s">
        <v>112</v>
      </c>
      <c r="J18" s="131" t="s">
        <v>157</v>
      </c>
      <c r="K18" s="100"/>
      <c r="L18" s="183"/>
      <c r="M18" s="184"/>
      <c r="N18" s="178" t="s">
        <v>163</v>
      </c>
      <c r="O18" s="179"/>
      <c r="P18" s="180"/>
    </row>
    <row r="19" spans="1:16" s="1" customFormat="1" ht="12.75" hidden="1">
      <c r="A19" s="132" t="s">
        <v>146</v>
      </c>
      <c r="B19" s="95">
        <f>B10</f>
        <v>6720</v>
      </c>
      <c r="C19" s="96"/>
      <c r="D19" s="96"/>
      <c r="E19" s="93"/>
      <c r="F19" s="94"/>
      <c r="G19" s="100"/>
      <c r="H19" s="100"/>
      <c r="I19" s="100"/>
      <c r="J19" s="131"/>
      <c r="K19" s="100"/>
      <c r="L19" s="21"/>
      <c r="M19" s="22"/>
      <c r="N19" s="21"/>
      <c r="O19" s="26"/>
      <c r="P19" s="22"/>
    </row>
    <row r="20" spans="1:16" ht="12.75" hidden="1">
      <c r="A20" s="21" t="s">
        <v>3</v>
      </c>
      <c r="B20" s="95">
        <f>$B$5/12*$B$9</f>
        <v>4725.000000000001</v>
      </c>
      <c r="C20" s="96">
        <f>$B$13-B20</f>
        <v>723.2240111729961</v>
      </c>
      <c r="D20" s="96">
        <f>C20</f>
        <v>723.2240111729961</v>
      </c>
      <c r="E20" s="97"/>
      <c r="F20" s="98"/>
      <c r="G20" s="97"/>
      <c r="H20" s="97"/>
      <c r="I20" s="97"/>
      <c r="J20" s="19"/>
      <c r="K20" s="97"/>
      <c r="L20" s="16"/>
      <c r="M20" s="19"/>
      <c r="N20" s="16"/>
      <c r="O20" s="97"/>
      <c r="P20" s="19"/>
    </row>
    <row r="21" spans="1:16" ht="12.75" hidden="1">
      <c r="A21" s="21" t="s">
        <v>4</v>
      </c>
      <c r="B21" s="95">
        <f aca="true" t="shared" si="0" ref="B21:B31">$B$5/12*($B$9-D20)</f>
        <v>4720.931864937153</v>
      </c>
      <c r="C21" s="96">
        <f>MIN($B$13-B21,MAX(0,$B$9-D20))</f>
        <v>727.2921462358445</v>
      </c>
      <c r="D21" s="96">
        <f>D20+C21</f>
        <v>1450.5161574088406</v>
      </c>
      <c r="E21" s="97"/>
      <c r="F21" s="98"/>
      <c r="G21" s="97"/>
      <c r="H21" s="97"/>
      <c r="I21" s="97"/>
      <c r="J21" s="19"/>
      <c r="K21" s="97"/>
      <c r="L21" s="16"/>
      <c r="M21" s="19"/>
      <c r="N21" s="16"/>
      <c r="O21" s="97"/>
      <c r="P21" s="19"/>
    </row>
    <row r="22" spans="1:16" ht="12.75" hidden="1">
      <c r="A22" s="21" t="s">
        <v>5</v>
      </c>
      <c r="B22" s="95">
        <f t="shared" si="0"/>
        <v>4716.840846614576</v>
      </c>
      <c r="C22" s="96">
        <f aca="true" t="shared" si="1" ref="C22:C31">MIN($B$13-B22,MAX(0,$B$9-D21))</f>
        <v>731.3831645584214</v>
      </c>
      <c r="D22" s="96">
        <f>D21+C22</f>
        <v>2181.899321967262</v>
      </c>
      <c r="E22" s="97"/>
      <c r="F22" s="98"/>
      <c r="G22" s="97"/>
      <c r="H22" s="97"/>
      <c r="I22" s="97"/>
      <c r="J22" s="19"/>
      <c r="K22" s="97"/>
      <c r="L22" s="16"/>
      <c r="M22" s="19"/>
      <c r="N22" s="16"/>
      <c r="O22" s="97"/>
      <c r="P22" s="19"/>
    </row>
    <row r="23" spans="1:16" ht="12.75" hidden="1">
      <c r="A23" s="21" t="s">
        <v>6</v>
      </c>
      <c r="B23" s="95">
        <f t="shared" si="0"/>
        <v>4712.726816313934</v>
      </c>
      <c r="C23" s="96">
        <f t="shared" si="1"/>
        <v>735.4971948590628</v>
      </c>
      <c r="D23" s="96">
        <f>D22+C23</f>
        <v>2917.396516826325</v>
      </c>
      <c r="E23" s="97"/>
      <c r="F23" s="98"/>
      <c r="G23" s="97"/>
      <c r="H23" s="97"/>
      <c r="I23" s="97"/>
      <c r="J23" s="19"/>
      <c r="K23" s="97"/>
      <c r="L23" s="16"/>
      <c r="M23" s="19"/>
      <c r="N23" s="16"/>
      <c r="O23" s="97"/>
      <c r="P23" s="19"/>
    </row>
    <row r="24" spans="1:16" ht="12.75" hidden="1">
      <c r="A24" s="21" t="s">
        <v>7</v>
      </c>
      <c r="B24" s="95">
        <f t="shared" si="0"/>
        <v>4708.589644592852</v>
      </c>
      <c r="C24" s="96">
        <f t="shared" si="1"/>
        <v>739.6343665801451</v>
      </c>
      <c r="D24" s="96">
        <f>D23+C24</f>
        <v>3657.03088340647</v>
      </c>
      <c r="E24" s="97"/>
      <c r="F24" s="98"/>
      <c r="G24" s="97"/>
      <c r="H24" s="97"/>
      <c r="I24" s="97"/>
      <c r="J24" s="19"/>
      <c r="K24" s="97"/>
      <c r="L24" s="16"/>
      <c r="M24" s="19"/>
      <c r="N24" s="16"/>
      <c r="O24" s="97"/>
      <c r="P24" s="19"/>
    </row>
    <row r="25" spans="1:16" ht="12.75" hidden="1">
      <c r="A25" s="21" t="s">
        <v>8</v>
      </c>
      <c r="B25" s="95">
        <f t="shared" si="0"/>
        <v>4704.429201280839</v>
      </c>
      <c r="C25" s="96">
        <f t="shared" si="1"/>
        <v>743.7948098921579</v>
      </c>
      <c r="D25" s="96">
        <f aca="true" t="shared" si="2" ref="D25:D31">D24+C25</f>
        <v>4400.825693298628</v>
      </c>
      <c r="E25" s="97"/>
      <c r="F25" s="98"/>
      <c r="G25" s="97"/>
      <c r="H25" s="97"/>
      <c r="I25" s="97"/>
      <c r="J25" s="19"/>
      <c r="K25" s="97"/>
      <c r="L25" s="16"/>
      <c r="M25" s="19"/>
      <c r="N25" s="16"/>
      <c r="O25" s="97"/>
      <c r="P25" s="19"/>
    </row>
    <row r="26" spans="1:16" ht="12.75" hidden="1">
      <c r="A26" s="21" t="s">
        <v>9</v>
      </c>
      <c r="B26" s="95">
        <f t="shared" si="0"/>
        <v>4700.2453554751955</v>
      </c>
      <c r="C26" s="96">
        <f t="shared" si="1"/>
        <v>747.9786556978015</v>
      </c>
      <c r="D26" s="96">
        <f t="shared" si="2"/>
        <v>5148.804348996429</v>
      </c>
      <c r="E26" s="97"/>
      <c r="F26" s="98"/>
      <c r="G26" s="97"/>
      <c r="H26" s="97"/>
      <c r="I26" s="97"/>
      <c r="J26" s="19"/>
      <c r="K26" s="97"/>
      <c r="L26" s="16"/>
      <c r="M26" s="19"/>
      <c r="N26" s="16"/>
      <c r="O26" s="97"/>
      <c r="P26" s="19"/>
    </row>
    <row r="27" spans="1:16" ht="12.75" hidden="1">
      <c r="A27" s="21" t="s">
        <v>10</v>
      </c>
      <c r="B27" s="95">
        <f t="shared" si="0"/>
        <v>4696.037975536896</v>
      </c>
      <c r="C27" s="96">
        <f t="shared" si="1"/>
        <v>752.1860356361012</v>
      </c>
      <c r="D27" s="96">
        <f t="shared" si="2"/>
        <v>5900.990384632531</v>
      </c>
      <c r="E27" s="97"/>
      <c r="F27" s="98"/>
      <c r="G27" s="97"/>
      <c r="H27" s="97"/>
      <c r="I27" s="97"/>
      <c r="J27" s="19"/>
      <c r="K27" s="97"/>
      <c r="L27" s="16"/>
      <c r="M27" s="19"/>
      <c r="N27" s="16"/>
      <c r="O27" s="97"/>
      <c r="P27" s="19"/>
    </row>
    <row r="28" spans="1:16" ht="12.75" hidden="1">
      <c r="A28" s="21" t="s">
        <v>11</v>
      </c>
      <c r="B28" s="95">
        <f t="shared" si="0"/>
        <v>4691.806929086443</v>
      </c>
      <c r="C28" s="96">
        <f t="shared" si="1"/>
        <v>756.4170820865538</v>
      </c>
      <c r="D28" s="96">
        <f t="shared" si="2"/>
        <v>6657.407466719084</v>
      </c>
      <c r="E28" s="97"/>
      <c r="F28" s="98"/>
      <c r="G28" s="97"/>
      <c r="H28" s="97"/>
      <c r="I28" s="97"/>
      <c r="J28" s="19"/>
      <c r="K28" s="97"/>
      <c r="L28" s="16"/>
      <c r="M28" s="19"/>
      <c r="N28" s="16"/>
      <c r="O28" s="97"/>
      <c r="P28" s="19"/>
    </row>
    <row r="29" spans="1:16" ht="12.75" hidden="1">
      <c r="A29" s="21" t="s">
        <v>12</v>
      </c>
      <c r="B29" s="95">
        <f t="shared" si="0"/>
        <v>4687.552082999706</v>
      </c>
      <c r="C29" s="96">
        <f t="shared" si="1"/>
        <v>760.6719281732912</v>
      </c>
      <c r="D29" s="96">
        <f t="shared" si="2"/>
        <v>7418.079394892376</v>
      </c>
      <c r="E29" s="97"/>
      <c r="F29" s="98"/>
      <c r="G29" s="97"/>
      <c r="H29" s="97"/>
      <c r="I29" s="97"/>
      <c r="J29" s="19"/>
      <c r="K29" s="97"/>
      <c r="L29" s="16"/>
      <c r="M29" s="19"/>
      <c r="N29" s="16"/>
      <c r="O29" s="97"/>
      <c r="P29" s="19"/>
    </row>
    <row r="30" spans="1:16" ht="12.75" hidden="1">
      <c r="A30" s="21" t="s">
        <v>13</v>
      </c>
      <c r="B30" s="95">
        <f t="shared" si="0"/>
        <v>4683.273303403731</v>
      </c>
      <c r="C30" s="96">
        <f t="shared" si="1"/>
        <v>764.950707769266</v>
      </c>
      <c r="D30" s="96">
        <f t="shared" si="2"/>
        <v>8183.030102661642</v>
      </c>
      <c r="E30" s="97"/>
      <c r="F30" s="98"/>
      <c r="G30" s="97"/>
      <c r="H30" s="97"/>
      <c r="I30" s="97"/>
      <c r="J30" s="19"/>
      <c r="K30" s="97"/>
      <c r="L30" s="16"/>
      <c r="M30" s="19"/>
      <c r="N30" s="16"/>
      <c r="O30" s="97"/>
      <c r="P30" s="19"/>
    </row>
    <row r="31" spans="1:16" ht="12.75" hidden="1">
      <c r="A31" s="21" t="s">
        <v>14</v>
      </c>
      <c r="B31" s="95">
        <f t="shared" si="0"/>
        <v>4678.970455672528</v>
      </c>
      <c r="C31" s="96">
        <f t="shared" si="1"/>
        <v>769.2535555004688</v>
      </c>
      <c r="D31" s="96">
        <f t="shared" si="2"/>
        <v>8952.28365816211</v>
      </c>
      <c r="E31" s="97"/>
      <c r="F31" s="98"/>
      <c r="G31" s="97"/>
      <c r="H31" s="97"/>
      <c r="I31" s="97"/>
      <c r="J31" s="19"/>
      <c r="K31" s="97"/>
      <c r="L31" s="16"/>
      <c r="M31" s="19"/>
      <c r="N31" s="16"/>
      <c r="O31" s="97"/>
      <c r="P31" s="19"/>
    </row>
    <row r="32" spans="1:16" ht="12.75">
      <c r="A32" s="21" t="s">
        <v>28</v>
      </c>
      <c r="B32" s="95">
        <f>SUM(B19:B31)</f>
        <v>63146.40447591385</v>
      </c>
      <c r="C32" s="96">
        <f>D31</f>
        <v>8952.28365816211</v>
      </c>
      <c r="D32" s="96"/>
      <c r="E32" s="95">
        <f>MAX(0,MAX(0,(B32-MAX($M$144,$M$47*$M$89))*Fed_marginal_rate)+MAX(0,(B32-$M$158)*State_marginal_rate)-$P$47)</f>
        <v>18553.97273523845</v>
      </c>
      <c r="F32" s="99">
        <f>$B$13-E32/12+(B10+$F$4*(1-$F$11)*$B$3+$F$5+$F$6)/12</f>
        <v>5717.609616569793</v>
      </c>
      <c r="G32" s="95">
        <f>F32-F14</f>
        <v>2217.6096165697927</v>
      </c>
      <c r="H32" s="95">
        <f>(FV($F$10/12,12,-G32)-12*G32)*(1-$F$11)</f>
        <v>655.5284981751857</v>
      </c>
      <c r="I32" s="95">
        <f>12*G32+H32</f>
        <v>27266.8438970127</v>
      </c>
      <c r="J32" s="133">
        <f>F32-C32/12</f>
        <v>4971.585978389617</v>
      </c>
      <c r="K32" s="95"/>
      <c r="L32" s="14" t="s">
        <v>74</v>
      </c>
      <c r="M32" s="76">
        <v>220000</v>
      </c>
      <c r="N32" s="16"/>
      <c r="O32" s="128" t="s">
        <v>168</v>
      </c>
      <c r="P32" s="142">
        <f>MAX(0,M32-(IF(Renting,0,MAX(B32-B10,0))+M75))</f>
        <v>134973.59552408615</v>
      </c>
    </row>
    <row r="33" spans="1:17" ht="12.75">
      <c r="A33" s="130" t="s">
        <v>46</v>
      </c>
      <c r="B33" s="93"/>
      <c r="C33" s="93"/>
      <c r="D33" s="26"/>
      <c r="E33" s="26"/>
      <c r="F33" s="99"/>
      <c r="G33" s="95"/>
      <c r="H33" s="95"/>
      <c r="I33" s="95"/>
      <c r="J33" s="133"/>
      <c r="K33" s="95"/>
      <c r="L33" s="14" t="s">
        <v>95</v>
      </c>
      <c r="M33" s="77">
        <v>3</v>
      </c>
      <c r="N33" s="33"/>
      <c r="O33" s="122" t="s">
        <v>164</v>
      </c>
      <c r="P33" s="144">
        <f>IF(P61,1000000,MAX(0,IF(M130,44350-0.25*MAX(0,P32-112500),66250-0.25*MAX(0,P32-150000))))</f>
        <v>66250</v>
      </c>
      <c r="Q33" s="115" t="s">
        <v>176</v>
      </c>
    </row>
    <row r="34" spans="1:16" ht="12.75" customHeight="1" hidden="1">
      <c r="A34" s="21" t="s">
        <v>3</v>
      </c>
      <c r="B34" s="95">
        <f>$B$5/12*($B$9-D31)</f>
        <v>4674.643404422839</v>
      </c>
      <c r="C34" s="96">
        <f>MIN($B$13-B34,MAX(0,$B$9-C32))</f>
        <v>773.580606750158</v>
      </c>
      <c r="D34" s="96">
        <f>D31+C34</f>
        <v>9725.864264912268</v>
      </c>
      <c r="E34" s="26"/>
      <c r="F34" s="99"/>
      <c r="G34" s="95"/>
      <c r="H34" s="95"/>
      <c r="I34" s="95"/>
      <c r="J34" s="133"/>
      <c r="K34" s="95"/>
      <c r="L34" s="14"/>
      <c r="M34" s="15"/>
      <c r="N34" s="16"/>
      <c r="O34" s="97"/>
      <c r="P34" s="19"/>
    </row>
    <row r="35" spans="1:16" ht="12.75" customHeight="1" hidden="1">
      <c r="A35" s="21" t="s">
        <v>4</v>
      </c>
      <c r="B35" s="95">
        <f aca="true" t="shared" si="3" ref="B35:B45">$B$5/12*($B$9-D34)</f>
        <v>4670.292013509868</v>
      </c>
      <c r="C35" s="96">
        <f>MIN($B$13-B35,MAX(0,$B$9-D34))</f>
        <v>777.9319976631286</v>
      </c>
      <c r="D35" s="96">
        <f aca="true" t="shared" si="4" ref="D35:D45">D34+C35</f>
        <v>10503.796262575397</v>
      </c>
      <c r="E35" s="26"/>
      <c r="F35" s="99"/>
      <c r="G35" s="95"/>
      <c r="H35" s="95"/>
      <c r="I35" s="95"/>
      <c r="J35" s="133"/>
      <c r="K35" s="95"/>
      <c r="L35" s="14"/>
      <c r="M35" s="15"/>
      <c r="N35" s="16"/>
      <c r="O35" s="97"/>
      <c r="P35" s="19"/>
    </row>
    <row r="36" spans="1:16" ht="12.75" customHeight="1" hidden="1">
      <c r="A36" s="21" t="s">
        <v>5</v>
      </c>
      <c r="B36" s="95">
        <f t="shared" si="3"/>
        <v>4665.916146023013</v>
      </c>
      <c r="C36" s="96">
        <f aca="true" t="shared" si="5" ref="C36:C45">MIN($B$13-B36,MAX(0,$B$9-D35))</f>
        <v>782.3078651499836</v>
      </c>
      <c r="D36" s="96">
        <f t="shared" si="4"/>
        <v>11286.10412772538</v>
      </c>
      <c r="E36" s="26"/>
      <c r="F36" s="99"/>
      <c r="G36" s="95"/>
      <c r="H36" s="95"/>
      <c r="I36" s="95"/>
      <c r="J36" s="133"/>
      <c r="K36" s="95"/>
      <c r="L36" s="14"/>
      <c r="M36" s="15"/>
      <c r="N36" s="16"/>
      <c r="O36" s="97"/>
      <c r="P36" s="19"/>
    </row>
    <row r="37" spans="1:16" ht="12.75" customHeight="1" hidden="1">
      <c r="A37" s="21" t="s">
        <v>6</v>
      </c>
      <c r="B37" s="95">
        <f t="shared" si="3"/>
        <v>4661.5156642815455</v>
      </c>
      <c r="C37" s="96">
        <f t="shared" si="5"/>
        <v>786.7083468914516</v>
      </c>
      <c r="D37" s="96">
        <f t="shared" si="4"/>
        <v>12072.812474616832</v>
      </c>
      <c r="E37" s="26"/>
      <c r="F37" s="99"/>
      <c r="G37" s="95"/>
      <c r="H37" s="95"/>
      <c r="I37" s="95"/>
      <c r="J37" s="133"/>
      <c r="K37" s="95"/>
      <c r="L37" s="14"/>
      <c r="M37" s="15"/>
      <c r="N37" s="16"/>
      <c r="O37" s="97"/>
      <c r="P37" s="19"/>
    </row>
    <row r="38" spans="1:16" ht="12.75" customHeight="1" hidden="1">
      <c r="A38" s="21" t="s">
        <v>7</v>
      </c>
      <c r="B38" s="95">
        <f t="shared" si="3"/>
        <v>4657.090429830281</v>
      </c>
      <c r="C38" s="96">
        <f t="shared" si="5"/>
        <v>791.1335813427158</v>
      </c>
      <c r="D38" s="96">
        <f t="shared" si="4"/>
        <v>12863.946055959548</v>
      </c>
      <c r="E38" s="26"/>
      <c r="F38" s="99"/>
      <c r="G38" s="95"/>
      <c r="H38" s="95"/>
      <c r="I38" s="95"/>
      <c r="J38" s="133"/>
      <c r="K38" s="95"/>
      <c r="L38" s="14"/>
      <c r="M38" s="15"/>
      <c r="N38" s="16"/>
      <c r="O38" s="97"/>
      <c r="P38" s="19"/>
    </row>
    <row r="39" spans="1:16" ht="12.75" customHeight="1" hidden="1">
      <c r="A39" s="21" t="s">
        <v>8</v>
      </c>
      <c r="B39" s="95">
        <f t="shared" si="3"/>
        <v>4652.640303435228</v>
      </c>
      <c r="C39" s="96">
        <f t="shared" si="5"/>
        <v>795.5837077377691</v>
      </c>
      <c r="D39" s="96">
        <f t="shared" si="4"/>
        <v>13659.529763697317</v>
      </c>
      <c r="E39" s="26"/>
      <c r="F39" s="99"/>
      <c r="G39" s="95"/>
      <c r="H39" s="95"/>
      <c r="I39" s="95"/>
      <c r="J39" s="133"/>
      <c r="K39" s="95"/>
      <c r="L39" s="14"/>
      <c r="M39" s="15"/>
      <c r="N39" s="16"/>
      <c r="O39" s="97"/>
      <c r="P39" s="19"/>
    </row>
    <row r="40" spans="1:16" ht="12.75" customHeight="1" hidden="1">
      <c r="A40" s="21" t="s">
        <v>9</v>
      </c>
      <c r="B40" s="95">
        <f t="shared" si="3"/>
        <v>4648.165145079203</v>
      </c>
      <c r="C40" s="96">
        <f t="shared" si="5"/>
        <v>800.0588660937938</v>
      </c>
      <c r="D40" s="96">
        <f t="shared" si="4"/>
        <v>14459.588629791111</v>
      </c>
      <c r="E40" s="26"/>
      <c r="F40" s="99"/>
      <c r="G40" s="95"/>
      <c r="H40" s="95"/>
      <c r="I40" s="95"/>
      <c r="J40" s="133"/>
      <c r="K40" s="95"/>
      <c r="L40" s="14"/>
      <c r="M40" s="15"/>
      <c r="N40" s="16"/>
      <c r="O40" s="97"/>
      <c r="P40" s="19"/>
    </row>
    <row r="41" spans="1:16" ht="12.75" customHeight="1" hidden="1">
      <c r="A41" s="21" t="s">
        <v>10</v>
      </c>
      <c r="B41" s="95">
        <f t="shared" si="3"/>
        <v>4643.664813957425</v>
      </c>
      <c r="C41" s="96">
        <f t="shared" si="5"/>
        <v>804.5591972155717</v>
      </c>
      <c r="D41" s="96">
        <f t="shared" si="4"/>
        <v>15264.147827006684</v>
      </c>
      <c r="E41" s="26"/>
      <c r="F41" s="99"/>
      <c r="G41" s="95"/>
      <c r="H41" s="95"/>
      <c r="I41" s="95"/>
      <c r="J41" s="133"/>
      <c r="K41" s="95"/>
      <c r="L41" s="14"/>
      <c r="M41" s="15"/>
      <c r="N41" s="16"/>
      <c r="O41" s="97"/>
      <c r="P41" s="19"/>
    </row>
    <row r="42" spans="1:16" ht="12.75" customHeight="1" hidden="1">
      <c r="A42" s="21" t="s">
        <v>11</v>
      </c>
      <c r="B42" s="95">
        <f t="shared" si="3"/>
        <v>4639.139168473088</v>
      </c>
      <c r="C42" s="96">
        <f t="shared" si="5"/>
        <v>809.0848426999091</v>
      </c>
      <c r="D42" s="96">
        <f t="shared" si="4"/>
        <v>16073.232669706593</v>
      </c>
      <c r="E42" s="26"/>
      <c r="F42" s="99"/>
      <c r="G42" s="95"/>
      <c r="H42" s="95"/>
      <c r="I42" s="95"/>
      <c r="J42" s="133"/>
      <c r="K42" s="95"/>
      <c r="L42" s="14"/>
      <c r="M42" s="15"/>
      <c r="N42" s="16"/>
      <c r="O42" s="97"/>
      <c r="P42" s="19"/>
    </row>
    <row r="43" spans="1:16" ht="12.75" customHeight="1" hidden="1">
      <c r="A43" s="21" t="s">
        <v>12</v>
      </c>
      <c r="B43" s="95">
        <f t="shared" si="3"/>
        <v>4634.588066232901</v>
      </c>
      <c r="C43" s="96">
        <f t="shared" si="5"/>
        <v>813.6359449400961</v>
      </c>
      <c r="D43" s="96">
        <f t="shared" si="4"/>
        <v>16886.86861464669</v>
      </c>
      <c r="E43" s="26"/>
      <c r="F43" s="99"/>
      <c r="G43" s="95"/>
      <c r="H43" s="95"/>
      <c r="I43" s="95"/>
      <c r="J43" s="133"/>
      <c r="K43" s="95"/>
      <c r="L43" s="14"/>
      <c r="M43" s="15"/>
      <c r="N43" s="16"/>
      <c r="O43" s="97"/>
      <c r="P43" s="19"/>
    </row>
    <row r="44" spans="1:16" ht="12.75" customHeight="1" hidden="1">
      <c r="A44" s="21" t="s">
        <v>13</v>
      </c>
      <c r="B44" s="95">
        <f t="shared" si="3"/>
        <v>4630.0113640426125</v>
      </c>
      <c r="C44" s="96">
        <f t="shared" si="5"/>
        <v>818.2126471303845</v>
      </c>
      <c r="D44" s="96">
        <f t="shared" si="4"/>
        <v>17705.081261777075</v>
      </c>
      <c r="E44" s="26"/>
      <c r="F44" s="99"/>
      <c r="G44" s="95"/>
      <c r="H44" s="95"/>
      <c r="I44" s="95"/>
      <c r="J44" s="133"/>
      <c r="K44" s="95"/>
      <c r="L44" s="14"/>
      <c r="M44" s="15"/>
      <c r="N44" s="16"/>
      <c r="O44" s="97"/>
      <c r="P44" s="19"/>
    </row>
    <row r="45" spans="1:16" ht="12.75" customHeight="1" hidden="1">
      <c r="A45" s="21" t="s">
        <v>14</v>
      </c>
      <c r="B45" s="95">
        <f t="shared" si="3"/>
        <v>4625.408917902504</v>
      </c>
      <c r="C45" s="96">
        <f t="shared" si="5"/>
        <v>822.815093270493</v>
      </c>
      <c r="D45" s="96">
        <f t="shared" si="4"/>
        <v>18527.896355047567</v>
      </c>
      <c r="E45" s="26"/>
      <c r="F45" s="99"/>
      <c r="G45" s="95"/>
      <c r="H45" s="95"/>
      <c r="I45" s="95"/>
      <c r="J45" s="133"/>
      <c r="K45" s="95"/>
      <c r="L45" s="14"/>
      <c r="M45" s="15"/>
      <c r="N45" s="16"/>
      <c r="O45" s="97"/>
      <c r="P45" s="19"/>
    </row>
    <row r="46" spans="1:16" ht="12.75">
      <c r="A46" s="21" t="s">
        <v>29</v>
      </c>
      <c r="B46" s="95">
        <f>B32+SUM(B34:B45)</f>
        <v>118949.47991310435</v>
      </c>
      <c r="C46" s="96">
        <f>D45</f>
        <v>18527.896355047567</v>
      </c>
      <c r="D46" s="96"/>
      <c r="E46" s="95">
        <f>MAX(0,MAX(0,((B46-B32)-MAX($M$144,$M$47*$M$89))*Fed_marginal_rate)+MAX(0,((B46-B32)-$M$158)*State_marginal_rate)-$P$47)</f>
        <v>16035.210874956343</v>
      </c>
      <c r="F46" s="99">
        <f>$B$13-E46/12+($F$4*(1-$F$11)*$B$3+$F$5+$F$6)/12</f>
        <v>5367.5064382599685</v>
      </c>
      <c r="G46" s="95">
        <f>(F46-$F$14*(1+$F$15)^1)</f>
        <v>1762.5064382599685</v>
      </c>
      <c r="H46" s="95">
        <f>((FV($F$10/12,12,-G46)-12*G46)+I32*$F$10)*(1-$F$11)</f>
        <v>1954.144678624316</v>
      </c>
      <c r="I46" s="95">
        <f>12*G46+H46+I32</f>
        <v>50371.065834756635</v>
      </c>
      <c r="J46" s="133">
        <f>F46-(C46-C32)/12</f>
        <v>4569.538713519514</v>
      </c>
      <c r="K46" s="95"/>
      <c r="L46" s="14" t="s">
        <v>90</v>
      </c>
      <c r="M46" s="53">
        <f>'2007 Fed Income Tax Schedule'!F20</f>
        <v>0.181381842949969</v>
      </c>
      <c r="N46" s="145"/>
      <c r="O46" s="128" t="s">
        <v>169</v>
      </c>
      <c r="P46" s="142">
        <f>MAX(0,(P32-P33)*0.26)</f>
        <v>17868.1348362624</v>
      </c>
    </row>
    <row r="47" spans="1:16" ht="13.5" thickBot="1">
      <c r="A47" s="130" t="s">
        <v>47</v>
      </c>
      <c r="B47" s="93"/>
      <c r="C47" s="93"/>
      <c r="D47" s="26"/>
      <c r="E47" s="26"/>
      <c r="F47" s="99"/>
      <c r="G47" s="95"/>
      <c r="H47" s="95"/>
      <c r="I47" s="95"/>
      <c r="J47" s="133"/>
      <c r="K47" s="95"/>
      <c r="L47" s="14" t="s">
        <v>132</v>
      </c>
      <c r="M47" s="53">
        <f>'2007 CA Tax Schedule'!F20</f>
        <v>0.06047802425388697</v>
      </c>
      <c r="N47" s="29"/>
      <c r="O47" s="129" t="s">
        <v>167</v>
      </c>
      <c r="P47" s="143">
        <f>MAX(0,P46-M88*M46)</f>
        <v>0</v>
      </c>
    </row>
    <row r="48" spans="1:16" ht="12.75" hidden="1">
      <c r="A48" s="21" t="s">
        <v>3</v>
      </c>
      <c r="B48" s="95">
        <f>$B$5/12*($B$9-D45)</f>
        <v>4620.780583002858</v>
      </c>
      <c r="C48" s="96">
        <f>MIN($B$13-B48,MAX(0,$B$9-C46))</f>
        <v>827.4434281701388</v>
      </c>
      <c r="D48" s="96">
        <f>D45+C48</f>
        <v>19355.339783217707</v>
      </c>
      <c r="E48" s="26"/>
      <c r="F48" s="99"/>
      <c r="G48" s="95"/>
      <c r="H48" s="95"/>
      <c r="I48" s="95"/>
      <c r="J48" s="133"/>
      <c r="K48" s="95"/>
      <c r="L48" s="14"/>
      <c r="M48" s="23"/>
      <c r="N48" s="16"/>
      <c r="O48" s="97"/>
      <c r="P48" s="19"/>
    </row>
    <row r="49" spans="1:16" ht="12.75" hidden="1">
      <c r="A49" s="21" t="s">
        <v>4</v>
      </c>
      <c r="B49" s="95">
        <f aca="true" t="shared" si="6" ref="B49:B59">$B$5/12*($B$9-D48)</f>
        <v>4616.126213719401</v>
      </c>
      <c r="C49" s="96">
        <f>MIN($B$13-B49,MAX(0,$B$9-D48))</f>
        <v>832.0977974535963</v>
      </c>
      <c r="D49" s="96">
        <f aca="true" t="shared" si="7" ref="D49:D59">D48+C49</f>
        <v>20187.437580671303</v>
      </c>
      <c r="E49" s="26"/>
      <c r="F49" s="99"/>
      <c r="G49" s="95"/>
      <c r="H49" s="95"/>
      <c r="I49" s="95"/>
      <c r="J49" s="133"/>
      <c r="K49" s="95"/>
      <c r="L49" s="14"/>
      <c r="M49" s="23"/>
      <c r="N49" s="16"/>
      <c r="O49" s="97"/>
      <c r="P49" s="19"/>
    </row>
    <row r="50" spans="1:16" ht="12.75" hidden="1">
      <c r="A50" s="21" t="s">
        <v>5</v>
      </c>
      <c r="B50" s="95">
        <f t="shared" si="6"/>
        <v>4611.445663608724</v>
      </c>
      <c r="C50" s="96">
        <f aca="true" t="shared" si="8" ref="C50:C59">MIN($B$13-B50,MAX(0,$B$9-D49))</f>
        <v>836.7783475642727</v>
      </c>
      <c r="D50" s="96">
        <f t="shared" si="7"/>
        <v>21024.215928235575</v>
      </c>
      <c r="E50" s="26"/>
      <c r="F50" s="99"/>
      <c r="G50" s="95"/>
      <c r="H50" s="95"/>
      <c r="I50" s="95"/>
      <c r="J50" s="133"/>
      <c r="K50" s="95"/>
      <c r="L50" s="14"/>
      <c r="M50" s="23"/>
      <c r="N50" s="16"/>
      <c r="O50" s="97"/>
      <c r="P50" s="19"/>
    </row>
    <row r="51" spans="1:16" ht="12.75" hidden="1">
      <c r="A51" s="21" t="s">
        <v>6</v>
      </c>
      <c r="B51" s="95">
        <f t="shared" si="6"/>
        <v>4606.738785403675</v>
      </c>
      <c r="C51" s="96">
        <f t="shared" si="8"/>
        <v>841.4852257693219</v>
      </c>
      <c r="D51" s="96">
        <f t="shared" si="7"/>
        <v>21865.7011540049</v>
      </c>
      <c r="E51" s="26"/>
      <c r="F51" s="99"/>
      <c r="G51" s="95"/>
      <c r="H51" s="95"/>
      <c r="I51" s="95"/>
      <c r="J51" s="133"/>
      <c r="K51" s="95"/>
      <c r="L51" s="14"/>
      <c r="M51" s="23"/>
      <c r="N51" s="16"/>
      <c r="O51" s="97"/>
      <c r="P51" s="19"/>
    </row>
    <row r="52" spans="1:16" ht="12.75" hidden="1">
      <c r="A52" s="21" t="s">
        <v>7</v>
      </c>
      <c r="B52" s="95">
        <f t="shared" si="6"/>
        <v>4602.005431008723</v>
      </c>
      <c r="C52" s="96">
        <f t="shared" si="8"/>
        <v>846.2185801642745</v>
      </c>
      <c r="D52" s="96">
        <f t="shared" si="7"/>
        <v>22711.919734169172</v>
      </c>
      <c r="E52" s="26"/>
      <c r="F52" s="99"/>
      <c r="G52" s="95"/>
      <c r="H52" s="95"/>
      <c r="I52" s="95"/>
      <c r="J52" s="133"/>
      <c r="K52" s="95"/>
      <c r="L52" s="14"/>
      <c r="M52" s="23"/>
      <c r="N52" s="16"/>
      <c r="O52" s="97"/>
      <c r="P52" s="19"/>
    </row>
    <row r="53" spans="1:16" ht="12.75" hidden="1">
      <c r="A53" s="21" t="s">
        <v>8</v>
      </c>
      <c r="B53" s="95">
        <f t="shared" si="6"/>
        <v>4597.245451495299</v>
      </c>
      <c r="C53" s="96">
        <f t="shared" si="8"/>
        <v>850.9785596776983</v>
      </c>
      <c r="D53" s="96">
        <f t="shared" si="7"/>
        <v>23562.89829384687</v>
      </c>
      <c r="E53" s="26"/>
      <c r="F53" s="99"/>
      <c r="G53" s="95"/>
      <c r="H53" s="95"/>
      <c r="I53" s="95"/>
      <c r="J53" s="133"/>
      <c r="K53" s="95"/>
      <c r="L53" s="14"/>
      <c r="M53" s="23"/>
      <c r="N53" s="16"/>
      <c r="O53" s="97"/>
      <c r="P53" s="19"/>
    </row>
    <row r="54" spans="1:16" ht="12.75" hidden="1">
      <c r="A54" s="21" t="s">
        <v>9</v>
      </c>
      <c r="B54" s="95">
        <f t="shared" si="6"/>
        <v>4592.458697097112</v>
      </c>
      <c r="C54" s="96">
        <f t="shared" si="8"/>
        <v>855.7653140758848</v>
      </c>
      <c r="D54" s="96">
        <f t="shared" si="7"/>
        <v>24418.663607922754</v>
      </c>
      <c r="E54" s="26"/>
      <c r="F54" s="99"/>
      <c r="G54" s="95"/>
      <c r="H54" s="95"/>
      <c r="I54" s="95"/>
      <c r="J54" s="133"/>
      <c r="K54" s="95"/>
      <c r="L54" s="14"/>
      <c r="M54" s="23"/>
      <c r="N54" s="16"/>
      <c r="O54" s="97"/>
      <c r="P54" s="19"/>
    </row>
    <row r="55" spans="1:16" ht="12.75" hidden="1">
      <c r="A55" s="21" t="s">
        <v>10</v>
      </c>
      <c r="B55" s="95">
        <f t="shared" si="6"/>
        <v>4587.645017205436</v>
      </c>
      <c r="C55" s="96">
        <f t="shared" si="8"/>
        <v>860.5789939675615</v>
      </c>
      <c r="D55" s="96">
        <f t="shared" si="7"/>
        <v>25279.242601890313</v>
      </c>
      <c r="E55" s="26"/>
      <c r="F55" s="99"/>
      <c r="G55" s="95"/>
      <c r="H55" s="95"/>
      <c r="I55" s="95"/>
      <c r="J55" s="133"/>
      <c r="K55" s="95"/>
      <c r="L55" s="14"/>
      <c r="M55" s="23"/>
      <c r="N55" s="16"/>
      <c r="O55" s="97"/>
      <c r="P55" s="19"/>
    </row>
    <row r="56" spans="1:16" ht="12.75" hidden="1">
      <c r="A56" s="21" t="s">
        <v>11</v>
      </c>
      <c r="B56" s="95">
        <f t="shared" si="6"/>
        <v>4582.804260364367</v>
      </c>
      <c r="C56" s="96">
        <f t="shared" si="8"/>
        <v>865.4197508086299</v>
      </c>
      <c r="D56" s="96">
        <f t="shared" si="7"/>
        <v>26144.662352698942</v>
      </c>
      <c r="E56" s="26"/>
      <c r="F56" s="99"/>
      <c r="G56" s="95"/>
      <c r="H56" s="95"/>
      <c r="I56" s="95"/>
      <c r="J56" s="133"/>
      <c r="K56" s="95"/>
      <c r="L56" s="14"/>
      <c r="M56" s="23"/>
      <c r="N56" s="16"/>
      <c r="O56" s="97"/>
      <c r="P56" s="19"/>
    </row>
    <row r="57" spans="1:16" ht="12.75" hidden="1">
      <c r="A57" s="21" t="s">
        <v>12</v>
      </c>
      <c r="B57" s="95">
        <f t="shared" si="6"/>
        <v>4577.936274266069</v>
      </c>
      <c r="C57" s="96">
        <f t="shared" si="8"/>
        <v>870.2877369069283</v>
      </c>
      <c r="D57" s="96">
        <f t="shared" si="7"/>
        <v>27014.95008960587</v>
      </c>
      <c r="E57" s="26"/>
      <c r="F57" s="99"/>
      <c r="G57" s="95"/>
      <c r="H57" s="95"/>
      <c r="I57" s="95"/>
      <c r="J57" s="133"/>
      <c r="K57" s="95"/>
      <c r="L57" s="14"/>
      <c r="M57" s="23"/>
      <c r="N57" s="16"/>
      <c r="O57" s="97"/>
      <c r="P57" s="19"/>
    </row>
    <row r="58" spans="1:16" ht="12.75" hidden="1">
      <c r="A58" s="21" t="s">
        <v>13</v>
      </c>
      <c r="B58" s="95">
        <f t="shared" si="6"/>
        <v>4573.040905745967</v>
      </c>
      <c r="C58" s="96">
        <f t="shared" si="8"/>
        <v>875.1831054270297</v>
      </c>
      <c r="D58" s="96">
        <f t="shared" si="7"/>
        <v>27890.1331950329</v>
      </c>
      <c r="E58" s="26"/>
      <c r="F58" s="99"/>
      <c r="G58" s="95"/>
      <c r="H58" s="95"/>
      <c r="I58" s="95"/>
      <c r="J58" s="133"/>
      <c r="K58" s="95"/>
      <c r="L58" s="14"/>
      <c r="M58" s="23"/>
      <c r="N58" s="16"/>
      <c r="O58" s="97"/>
      <c r="P58" s="19"/>
    </row>
    <row r="59" spans="1:16" ht="12.75" hidden="1">
      <c r="A59" s="21" t="s">
        <v>14</v>
      </c>
      <c r="B59" s="95">
        <f t="shared" si="6"/>
        <v>4568.11800077794</v>
      </c>
      <c r="C59" s="96">
        <f t="shared" si="8"/>
        <v>880.1060103950567</v>
      </c>
      <c r="D59" s="96">
        <f t="shared" si="7"/>
        <v>28770.239205427955</v>
      </c>
      <c r="E59" s="26"/>
      <c r="F59" s="99"/>
      <c r="G59" s="95"/>
      <c r="H59" s="95"/>
      <c r="I59" s="95"/>
      <c r="J59" s="133"/>
      <c r="K59" s="95"/>
      <c r="L59" s="14"/>
      <c r="M59" s="23"/>
      <c r="N59" s="16"/>
      <c r="O59" s="97"/>
      <c r="P59" s="19"/>
    </row>
    <row r="60" spans="1:13" ht="12.75">
      <c r="A60" s="21" t="s">
        <v>29</v>
      </c>
      <c r="B60" s="95">
        <f>B46+SUM(B48:B59)</f>
        <v>174085.82519679994</v>
      </c>
      <c r="C60" s="96">
        <f>D59</f>
        <v>28770.239205427955</v>
      </c>
      <c r="D60" s="96"/>
      <c r="E60" s="95">
        <f>MAX(0,MAX(0,((B60-B46)-MAX($M$144,$M$47*$M$89))*Fed_marginal_rate)+MAX(0,((B60-B46)-$M$158)*State_marginal_rate)-$P$47)</f>
        <v>15806.522432307585</v>
      </c>
      <c r="F60" s="99">
        <f>$B$13-E60/12+($F$4*(1-$F$11)*$B$3+$F$5+$F$6)/12</f>
        <v>5386.563808480699</v>
      </c>
      <c r="G60" s="95">
        <f>(F60-$F$14*(1+$F$15)^2)</f>
        <v>1673.4138084806991</v>
      </c>
      <c r="H60" s="95">
        <f>((FV($F$10/12,12,-G60)-12*G60)+I46*$F$10)*(1-$F$11)</f>
        <v>3142.1666779467555</v>
      </c>
      <c r="I60" s="95">
        <f>12*G60+H60+I46</f>
        <v>73594.19821447178</v>
      </c>
      <c r="J60" s="133">
        <f>F60-(C60-C46)/12</f>
        <v>4533.035237615666</v>
      </c>
      <c r="K60" s="95"/>
      <c r="L60" s="14" t="s">
        <v>75</v>
      </c>
      <c r="M60" s="117">
        <f>0.0145*M32</f>
        <v>3190</v>
      </c>
    </row>
    <row r="61" spans="1:16" ht="12.75">
      <c r="A61" s="130" t="s">
        <v>17</v>
      </c>
      <c r="B61" s="93"/>
      <c r="C61" s="93"/>
      <c r="D61" s="26"/>
      <c r="E61" s="26"/>
      <c r="F61" s="99"/>
      <c r="G61" s="95"/>
      <c r="H61" s="95"/>
      <c r="I61" s="95"/>
      <c r="J61" s="133"/>
      <c r="K61" s="95"/>
      <c r="L61" s="14" t="s">
        <v>134</v>
      </c>
      <c r="M61" s="117">
        <f>0.0625*MIN(M32,IF(M130,1,2)*94000)</f>
        <v>11750</v>
      </c>
      <c r="P61" s="78" t="b">
        <v>0</v>
      </c>
    </row>
    <row r="62" spans="1:13" ht="12.75" hidden="1">
      <c r="A62" s="21" t="s">
        <v>3</v>
      </c>
      <c r="B62" s="95">
        <f>$B$5/12*($B$9-D59)</f>
        <v>4563.167404469468</v>
      </c>
      <c r="C62" s="96">
        <f>MIN($B$13-B62,MAX(0,$B$9-C60))</f>
        <v>885.0566067035288</v>
      </c>
      <c r="D62" s="96">
        <f>D59+C62</f>
        <v>29655.295812131484</v>
      </c>
      <c r="E62" s="26"/>
      <c r="F62" s="99"/>
      <c r="G62" s="95"/>
      <c r="H62" s="95"/>
      <c r="I62" s="95"/>
      <c r="J62" s="133"/>
      <c r="K62" s="95"/>
      <c r="L62" s="16"/>
      <c r="M62" s="17"/>
    </row>
    <row r="63" spans="1:13" ht="12.75" hidden="1">
      <c r="A63" s="21" t="s">
        <v>4</v>
      </c>
      <c r="B63" s="95">
        <f aca="true" t="shared" si="9" ref="B63:B73">$B$5/12*($B$9-D62)</f>
        <v>4558.1889610567605</v>
      </c>
      <c r="C63" s="96">
        <f>MIN($B$13-B63,MAX(0,$B$9-D62))</f>
        <v>890.0350501162366</v>
      </c>
      <c r="D63" s="96">
        <f aca="true" t="shared" si="10" ref="D63:D73">D62+C63</f>
        <v>30545.33086224772</v>
      </c>
      <c r="E63" s="26"/>
      <c r="F63" s="99"/>
      <c r="G63" s="95"/>
      <c r="H63" s="95"/>
      <c r="I63" s="95"/>
      <c r="J63" s="133"/>
      <c r="K63" s="95"/>
      <c r="L63" s="16"/>
      <c r="M63" s="17"/>
    </row>
    <row r="64" spans="1:13" ht="12.75" hidden="1">
      <c r="A64" s="21" t="s">
        <v>5</v>
      </c>
      <c r="B64" s="95">
        <f t="shared" si="9"/>
        <v>4553.182513899857</v>
      </c>
      <c r="C64" s="96">
        <f aca="true" t="shared" si="11" ref="C64:C73">MIN($B$13-B64,MAX(0,$B$9-D63))</f>
        <v>895.0414972731396</v>
      </c>
      <c r="D64" s="96">
        <f t="shared" si="10"/>
        <v>31440.372359520858</v>
      </c>
      <c r="E64" s="26"/>
      <c r="F64" s="99"/>
      <c r="G64" s="95"/>
      <c r="H64" s="95"/>
      <c r="I64" s="95"/>
      <c r="J64" s="133"/>
      <c r="K64" s="95"/>
      <c r="L64" s="16"/>
      <c r="M64" s="17"/>
    </row>
    <row r="65" spans="1:13" ht="12.75" hidden="1">
      <c r="A65" s="21" t="s">
        <v>6</v>
      </c>
      <c r="B65" s="95">
        <f t="shared" si="9"/>
        <v>4548.1479054776955</v>
      </c>
      <c r="C65" s="96">
        <f t="shared" si="11"/>
        <v>900.0761056953015</v>
      </c>
      <c r="D65" s="96">
        <f t="shared" si="10"/>
        <v>32340.44846521616</v>
      </c>
      <c r="E65" s="26"/>
      <c r="F65" s="99"/>
      <c r="G65" s="95"/>
      <c r="H65" s="95"/>
      <c r="I65" s="95"/>
      <c r="J65" s="133"/>
      <c r="K65" s="95"/>
      <c r="L65" s="16"/>
      <c r="M65" s="17"/>
    </row>
    <row r="66" spans="1:13" ht="12.75" hidden="1">
      <c r="A66" s="21" t="s">
        <v>7</v>
      </c>
      <c r="B66" s="95">
        <f t="shared" si="9"/>
        <v>4543.08497738316</v>
      </c>
      <c r="C66" s="96">
        <f t="shared" si="11"/>
        <v>905.1390337898374</v>
      </c>
      <c r="D66" s="96">
        <f t="shared" si="10"/>
        <v>33245.587499006</v>
      </c>
      <c r="E66" s="26"/>
      <c r="F66" s="99"/>
      <c r="G66" s="95"/>
      <c r="H66" s="95"/>
      <c r="I66" s="95"/>
      <c r="J66" s="133"/>
      <c r="K66" s="95"/>
      <c r="L66" s="16"/>
      <c r="M66" s="17"/>
    </row>
    <row r="67" spans="1:13" ht="12.75" hidden="1">
      <c r="A67" s="21" t="s">
        <v>8</v>
      </c>
      <c r="B67" s="95">
        <f t="shared" si="9"/>
        <v>4537.993570318092</v>
      </c>
      <c r="C67" s="96">
        <f t="shared" si="11"/>
        <v>910.2304408549053</v>
      </c>
      <c r="D67" s="96">
        <f t="shared" si="10"/>
        <v>34155.8179398609</v>
      </c>
      <c r="E67" s="26"/>
      <c r="F67" s="99"/>
      <c r="G67" s="95"/>
      <c r="H67" s="95"/>
      <c r="I67" s="95"/>
      <c r="J67" s="133"/>
      <c r="K67" s="95"/>
      <c r="L67" s="16"/>
      <c r="M67" s="17"/>
    </row>
    <row r="68" spans="1:13" ht="12.75" hidden="1">
      <c r="A68" s="21" t="s">
        <v>9</v>
      </c>
      <c r="B68" s="95">
        <f t="shared" si="9"/>
        <v>4532.873524088283</v>
      </c>
      <c r="C68" s="96">
        <f t="shared" si="11"/>
        <v>915.3504870847137</v>
      </c>
      <c r="D68" s="96">
        <f t="shared" si="10"/>
        <v>35071.16842694562</v>
      </c>
      <c r="E68" s="26"/>
      <c r="F68" s="99"/>
      <c r="G68" s="95"/>
      <c r="H68" s="95"/>
      <c r="I68" s="95"/>
      <c r="J68" s="133"/>
      <c r="K68" s="95"/>
      <c r="L68" s="16"/>
      <c r="M68" s="17"/>
    </row>
    <row r="69" spans="1:13" ht="12.75" hidden="1">
      <c r="A69" s="21" t="s">
        <v>10</v>
      </c>
      <c r="B69" s="95">
        <f t="shared" si="9"/>
        <v>4527.724677598431</v>
      </c>
      <c r="C69" s="96">
        <f t="shared" si="11"/>
        <v>920.4993335745658</v>
      </c>
      <c r="D69" s="96">
        <f t="shared" si="10"/>
        <v>35991.667760520184</v>
      </c>
      <c r="E69" s="26"/>
      <c r="F69" s="99"/>
      <c r="G69" s="95"/>
      <c r="H69" s="95"/>
      <c r="I69" s="95"/>
      <c r="J69" s="133"/>
      <c r="K69" s="95"/>
      <c r="L69" s="16"/>
      <c r="M69" s="17"/>
    </row>
    <row r="70" spans="1:13" ht="12.75" hidden="1">
      <c r="A70" s="21" t="s">
        <v>11</v>
      </c>
      <c r="B70" s="95">
        <f t="shared" si="9"/>
        <v>4522.546868847075</v>
      </c>
      <c r="C70" s="96">
        <f t="shared" si="11"/>
        <v>925.6771423259224</v>
      </c>
      <c r="D70" s="96">
        <f t="shared" si="10"/>
        <v>36917.344902846104</v>
      </c>
      <c r="E70" s="26"/>
      <c r="F70" s="99"/>
      <c r="G70" s="95"/>
      <c r="H70" s="95"/>
      <c r="I70" s="95"/>
      <c r="J70" s="133"/>
      <c r="K70" s="95"/>
      <c r="L70" s="16"/>
      <c r="M70" s="17"/>
    </row>
    <row r="71" spans="1:13" ht="12.75" hidden="1">
      <c r="A71" s="21" t="s">
        <v>12</v>
      </c>
      <c r="B71" s="95">
        <f t="shared" si="9"/>
        <v>4517.339934921491</v>
      </c>
      <c r="C71" s="96">
        <f t="shared" si="11"/>
        <v>930.8840762515065</v>
      </c>
      <c r="D71" s="96">
        <f t="shared" si="10"/>
        <v>37848.22897909761</v>
      </c>
      <c r="E71" s="26"/>
      <c r="F71" s="99"/>
      <c r="G71" s="95"/>
      <c r="H71" s="95"/>
      <c r="I71" s="95"/>
      <c r="J71" s="133"/>
      <c r="K71" s="95"/>
      <c r="L71" s="16"/>
      <c r="M71" s="17"/>
    </row>
    <row r="72" spans="1:13" ht="12.75" hidden="1">
      <c r="A72" s="21" t="s">
        <v>13</v>
      </c>
      <c r="B72" s="95">
        <f t="shared" si="9"/>
        <v>4512.103711992577</v>
      </c>
      <c r="C72" s="96">
        <f t="shared" si="11"/>
        <v>936.1202991804203</v>
      </c>
      <c r="D72" s="96">
        <f t="shared" si="10"/>
        <v>38784.34927827802</v>
      </c>
      <c r="E72" s="26"/>
      <c r="F72" s="99"/>
      <c r="G72" s="95"/>
      <c r="H72" s="95"/>
      <c r="I72" s="95"/>
      <c r="J72" s="133"/>
      <c r="K72" s="95"/>
      <c r="L72" s="16"/>
      <c r="M72" s="17"/>
    </row>
    <row r="73" spans="1:13" ht="12.75" hidden="1">
      <c r="A73" s="21" t="s">
        <v>14</v>
      </c>
      <c r="B73" s="95">
        <f t="shared" si="9"/>
        <v>4506.838035309686</v>
      </c>
      <c r="C73" s="96">
        <f t="shared" si="11"/>
        <v>941.3859758633107</v>
      </c>
      <c r="D73" s="96">
        <f t="shared" si="10"/>
        <v>39725.735254141335</v>
      </c>
      <c r="E73" s="26"/>
      <c r="F73" s="99"/>
      <c r="G73" s="95"/>
      <c r="H73" s="95"/>
      <c r="I73" s="95"/>
      <c r="J73" s="133"/>
      <c r="K73" s="95"/>
      <c r="L73" s="16"/>
      <c r="M73" s="17"/>
    </row>
    <row r="74" spans="1:13" ht="12.75">
      <c r="A74" s="21" t="s">
        <v>29</v>
      </c>
      <c r="B74" s="95">
        <f>B60+SUM(B62:B73)</f>
        <v>228509.0172821625</v>
      </c>
      <c r="C74" s="96">
        <f>D73</f>
        <v>39725.735254141335</v>
      </c>
      <c r="D74" s="96"/>
      <c r="E74" s="95">
        <f>MAX(0,MAX(0,((B74-B60)-MAX($M$144,$M$47*$M$89))*Fed_marginal_rate)+MAX(0,((B74-B60)-$M$158)*State_marginal_rate)-$P$47)</f>
        <v>15561.910885279358</v>
      </c>
      <c r="F74" s="99">
        <f>$B$13-E74/12+($F$4*(1-$F$11)*$B$3+$F$5+$F$6)/12</f>
        <v>5406.948104066384</v>
      </c>
      <c r="G74" s="95">
        <f>(F74-$F$14*(1+$F$15)^3)</f>
        <v>1582.403604066384</v>
      </c>
      <c r="H74" s="95">
        <f>((FV($F$10/12,12,-G74)-12*G74)+I60*$F$10)*(1-$F$11)</f>
        <v>4335.871772360378</v>
      </c>
      <c r="I74" s="95">
        <f>12*G74+H74+I60</f>
        <v>96918.91323562876</v>
      </c>
      <c r="J74" s="133">
        <f>F74-(C74-C60)/12</f>
        <v>4493.990100006936</v>
      </c>
      <c r="K74" s="95"/>
      <c r="L74" s="14" t="s">
        <v>136</v>
      </c>
      <c r="M74" s="117">
        <f>0.008*MIN(M32,IF(M130,1,2)*79418)</f>
        <v>1270.688</v>
      </c>
    </row>
    <row r="75" spans="1:15" ht="12.75">
      <c r="A75" s="130" t="s">
        <v>18</v>
      </c>
      <c r="B75" s="93"/>
      <c r="C75" s="93"/>
      <c r="D75" s="26"/>
      <c r="E75" s="26"/>
      <c r="F75" s="99"/>
      <c r="G75" s="95"/>
      <c r="H75" s="95"/>
      <c r="I75" s="95"/>
      <c r="J75" s="133"/>
      <c r="K75" s="95"/>
      <c r="L75" s="18" t="s">
        <v>76</v>
      </c>
      <c r="M75" s="154">
        <f>MIN(IF(M130,1,2)*15000,0.13*M32)</f>
        <v>28600</v>
      </c>
      <c r="O75" s="1"/>
    </row>
    <row r="76" spans="1:13" ht="12.75" hidden="1">
      <c r="A76" s="21" t="s">
        <v>3</v>
      </c>
      <c r="B76" s="95">
        <f>$B$5/12*($B$9-D73)</f>
        <v>4501.542739195455</v>
      </c>
      <c r="C76" s="96">
        <f>MIN($B$13-B76,MAX(0,$B$9-C74))</f>
        <v>946.6812719775417</v>
      </c>
      <c r="D76" s="96">
        <f>D73+C76</f>
        <v>40672.416526118875</v>
      </c>
      <c r="E76" s="26"/>
      <c r="F76" s="99"/>
      <c r="G76" s="95"/>
      <c r="H76" s="95"/>
      <c r="I76" s="95"/>
      <c r="J76" s="133"/>
      <c r="K76" s="95"/>
      <c r="L76" s="16"/>
      <c r="M76" s="19"/>
    </row>
    <row r="77" spans="1:13" ht="12.75" hidden="1">
      <c r="A77" s="21" t="s">
        <v>4</v>
      </c>
      <c r="B77" s="95">
        <f aca="true" t="shared" si="12" ref="B77:B87">$B$5/12*($B$9-D76)</f>
        <v>4496.217657040582</v>
      </c>
      <c r="C77" s="96">
        <f>MIN($B$13-B77,MAX(0,$B$9-D76))</f>
        <v>952.0063541324153</v>
      </c>
      <c r="D77" s="96">
        <f aca="true" t="shared" si="13" ref="D77:D87">D76+C77</f>
        <v>41624.42288025129</v>
      </c>
      <c r="E77" s="26"/>
      <c r="F77" s="99"/>
      <c r="G77" s="95"/>
      <c r="H77" s="95"/>
      <c r="I77" s="95"/>
      <c r="J77" s="133"/>
      <c r="K77" s="95"/>
      <c r="L77" s="16"/>
      <c r="M77" s="19"/>
    </row>
    <row r="78" spans="1:13" ht="12.75" hidden="1">
      <c r="A78" s="21" t="s">
        <v>5</v>
      </c>
      <c r="B78" s="95">
        <f t="shared" si="12"/>
        <v>4490.862621298587</v>
      </c>
      <c r="C78" s="96">
        <f aca="true" t="shared" si="14" ref="C78:C87">MIN($B$13-B78,MAX(0,$B$9-D77))</f>
        <v>957.3613898744097</v>
      </c>
      <c r="D78" s="96">
        <f t="shared" si="13"/>
        <v>42581.784270125696</v>
      </c>
      <c r="E78" s="26"/>
      <c r="F78" s="99"/>
      <c r="G78" s="95"/>
      <c r="H78" s="95"/>
      <c r="I78" s="95"/>
      <c r="J78" s="133"/>
      <c r="K78" s="95"/>
      <c r="L78" s="16"/>
      <c r="M78" s="19"/>
    </row>
    <row r="79" spans="1:13" ht="12.75" hidden="1">
      <c r="A79" s="21" t="s">
        <v>6</v>
      </c>
      <c r="B79" s="95">
        <f t="shared" si="12"/>
        <v>4485.4774634805435</v>
      </c>
      <c r="C79" s="96">
        <f t="shared" si="14"/>
        <v>962.7465476924535</v>
      </c>
      <c r="D79" s="96">
        <f t="shared" si="13"/>
        <v>43544.53081781815</v>
      </c>
      <c r="E79" s="26"/>
      <c r="F79" s="99"/>
      <c r="G79" s="95"/>
      <c r="H79" s="95"/>
      <c r="I79" s="95"/>
      <c r="J79" s="133"/>
      <c r="K79" s="95"/>
      <c r="L79" s="16"/>
      <c r="M79" s="19"/>
    </row>
    <row r="80" spans="1:13" ht="12.75" hidden="1">
      <c r="A80" s="21" t="s">
        <v>7</v>
      </c>
      <c r="B80" s="95">
        <f t="shared" si="12"/>
        <v>4480.062014149774</v>
      </c>
      <c r="C80" s="96">
        <f t="shared" si="14"/>
        <v>968.1619970232232</v>
      </c>
      <c r="D80" s="96">
        <f t="shared" si="13"/>
        <v>44512.69281484137</v>
      </c>
      <c r="E80" s="26"/>
      <c r="F80" s="99"/>
      <c r="G80" s="95"/>
      <c r="H80" s="95"/>
      <c r="I80" s="95"/>
      <c r="J80" s="133"/>
      <c r="K80" s="95"/>
      <c r="L80" s="16"/>
      <c r="M80" s="19"/>
    </row>
    <row r="81" spans="1:13" ht="12.75" hidden="1">
      <c r="A81" s="21" t="s">
        <v>8</v>
      </c>
      <c r="B81" s="95">
        <f t="shared" si="12"/>
        <v>4474.616102916518</v>
      </c>
      <c r="C81" s="96">
        <f t="shared" si="14"/>
        <v>973.6079082564793</v>
      </c>
      <c r="D81" s="96">
        <f t="shared" si="13"/>
        <v>45486.300723097855</v>
      </c>
      <c r="E81" s="26"/>
      <c r="F81" s="99"/>
      <c r="G81" s="95"/>
      <c r="H81" s="95"/>
      <c r="I81" s="95"/>
      <c r="J81" s="133"/>
      <c r="K81" s="95"/>
      <c r="L81" s="16"/>
      <c r="M81" s="19"/>
    </row>
    <row r="82" spans="1:13" ht="12.75" hidden="1">
      <c r="A82" s="21" t="s">
        <v>9</v>
      </c>
      <c r="B82" s="95">
        <f t="shared" si="12"/>
        <v>4469.139558432575</v>
      </c>
      <c r="C82" s="96">
        <f t="shared" si="14"/>
        <v>979.0844527404224</v>
      </c>
      <c r="D82" s="96">
        <f t="shared" si="13"/>
        <v>46465.38517583828</v>
      </c>
      <c r="E82" s="26"/>
      <c r="F82" s="99"/>
      <c r="G82" s="95"/>
      <c r="H82" s="95"/>
      <c r="I82" s="95"/>
      <c r="J82" s="133"/>
      <c r="K82" s="95"/>
      <c r="L82" s="16"/>
      <c r="M82" s="19"/>
    </row>
    <row r="83" spans="1:13" ht="12.75" hidden="1">
      <c r="A83" s="21" t="s">
        <v>10</v>
      </c>
      <c r="B83" s="95">
        <f t="shared" si="12"/>
        <v>4463.63220838591</v>
      </c>
      <c r="C83" s="96">
        <f t="shared" si="14"/>
        <v>984.5918027870866</v>
      </c>
      <c r="D83" s="96">
        <f t="shared" si="13"/>
        <v>47449.97697862537</v>
      </c>
      <c r="E83" s="26"/>
      <c r="F83" s="99"/>
      <c r="G83" s="95"/>
      <c r="H83" s="95"/>
      <c r="I83" s="95"/>
      <c r="J83" s="133"/>
      <c r="K83" s="95"/>
      <c r="L83" s="16"/>
      <c r="M83" s="19"/>
    </row>
    <row r="84" spans="1:13" ht="12.75" hidden="1">
      <c r="A84" s="21" t="s">
        <v>11</v>
      </c>
      <c r="B84" s="95">
        <f t="shared" si="12"/>
        <v>4458.093879495233</v>
      </c>
      <c r="C84" s="96">
        <f t="shared" si="14"/>
        <v>990.1301316777644</v>
      </c>
      <c r="D84" s="96">
        <f t="shared" si="13"/>
        <v>48440.10711030313</v>
      </c>
      <c r="E84" s="26"/>
      <c r="F84" s="99"/>
      <c r="G84" s="95"/>
      <c r="H84" s="95"/>
      <c r="I84" s="95"/>
      <c r="J84" s="133"/>
      <c r="K84" s="95"/>
      <c r="L84" s="16"/>
      <c r="M84" s="19"/>
    </row>
    <row r="85" spans="1:13" ht="12.75" hidden="1">
      <c r="A85" s="21" t="s">
        <v>12</v>
      </c>
      <c r="B85" s="95">
        <f t="shared" si="12"/>
        <v>4452.524397504545</v>
      </c>
      <c r="C85" s="96">
        <f t="shared" si="14"/>
        <v>995.699613668452</v>
      </c>
      <c r="D85" s="96">
        <f t="shared" si="13"/>
        <v>49435.80672397158</v>
      </c>
      <c r="E85" s="26"/>
      <c r="F85" s="99"/>
      <c r="G85" s="95"/>
      <c r="H85" s="95"/>
      <c r="I85" s="95"/>
      <c r="J85" s="133"/>
      <c r="K85" s="95"/>
      <c r="L85" s="16"/>
      <c r="M85" s="19"/>
    </row>
    <row r="86" spans="1:13" ht="12.75" hidden="1">
      <c r="A86" s="21" t="s">
        <v>13</v>
      </c>
      <c r="B86" s="95">
        <f t="shared" si="12"/>
        <v>4446.92358717766</v>
      </c>
      <c r="C86" s="96">
        <f t="shared" si="14"/>
        <v>1001.300423995337</v>
      </c>
      <c r="D86" s="96">
        <f t="shared" si="13"/>
        <v>50437.10714796692</v>
      </c>
      <c r="E86" s="26"/>
      <c r="F86" s="99"/>
      <c r="G86" s="95"/>
      <c r="H86" s="95"/>
      <c r="I86" s="95"/>
      <c r="J86" s="133"/>
      <c r="K86" s="95"/>
      <c r="L86" s="16"/>
      <c r="M86" s="19"/>
    </row>
    <row r="87" spans="1:13" ht="12.75" hidden="1">
      <c r="A87" s="21" t="s">
        <v>14</v>
      </c>
      <c r="B87" s="95">
        <f t="shared" si="12"/>
        <v>4441.291272292687</v>
      </c>
      <c r="C87" s="96">
        <f t="shared" si="14"/>
        <v>1006.9327388803104</v>
      </c>
      <c r="D87" s="96">
        <f t="shared" si="13"/>
        <v>51444.039886847226</v>
      </c>
      <c r="E87" s="26"/>
      <c r="F87" s="99"/>
      <c r="G87" s="95"/>
      <c r="H87" s="95"/>
      <c r="I87" s="95"/>
      <c r="J87" s="133"/>
      <c r="K87" s="95"/>
      <c r="L87" s="16"/>
      <c r="M87" s="19"/>
    </row>
    <row r="88" spans="1:16" ht="12.75">
      <c r="A88" s="21" t="s">
        <v>29</v>
      </c>
      <c r="B88" s="95">
        <f>B74+SUM(B76:B87)</f>
        <v>282169.4007835326</v>
      </c>
      <c r="C88" s="96">
        <f>D87</f>
        <v>51444.039886847226</v>
      </c>
      <c r="D88" s="96"/>
      <c r="E88" s="95">
        <f>MAX(0,MAX(0,((B88-B74)-MAX($M$144,$M$47*$M$89))*Fed_marginal_rate)+MAX(0,((B88-B74)-$M$158)*State_marginal_rate)-$P$47)</f>
        <v>15300.26754096994</v>
      </c>
      <c r="F88" s="99">
        <f>$B$13-E88/12+($F$4*(1-$F$11)*$B$3+$F$5+$F$6)/12</f>
        <v>5428.751716092169</v>
      </c>
      <c r="G88" s="95">
        <f>(F88-$F$14*(1+$F$15)^4)</f>
        <v>1489.4708810921693</v>
      </c>
      <c r="H88" s="95">
        <f>((FV($F$10/12,12,-G88)-12*G88)+I74*$F$10)*(1-$F$11)</f>
        <v>5534.3477512382715</v>
      </c>
      <c r="I88" s="95">
        <f>12*G88+H88+I74</f>
        <v>120326.91155997306</v>
      </c>
      <c r="J88" s="133">
        <f>F88-(C88-C74)/12</f>
        <v>4452.226330033344</v>
      </c>
      <c r="K88" s="95"/>
      <c r="L88" s="14" t="s">
        <v>92</v>
      </c>
      <c r="M88" s="55">
        <f>MAX(0,M32-(IF(Renting,M144,MAX(B32-B10,M144)+B3*F4)+M145+M75+M47*M89))</f>
        <v>104236.25914034614</v>
      </c>
      <c r="N88" s="146"/>
      <c r="O88" s="140"/>
      <c r="P88" s="140"/>
    </row>
    <row r="89" spans="1:17" ht="12.75">
      <c r="A89" s="130" t="s">
        <v>19</v>
      </c>
      <c r="B89" s="93"/>
      <c r="C89" s="93"/>
      <c r="D89" s="26"/>
      <c r="E89" s="26"/>
      <c r="F89" s="99"/>
      <c r="G89" s="95"/>
      <c r="H89" s="95"/>
      <c r="I89" s="95"/>
      <c r="J89" s="133"/>
      <c r="K89" s="95"/>
      <c r="L89" s="14" t="s">
        <v>97</v>
      </c>
      <c r="M89" s="55">
        <f>MAX(0,M32-(IF(Renting,M158,MAX(B32-B10,M158))+M75))</f>
        <v>134973.59552408615</v>
      </c>
      <c r="N89" s="141"/>
      <c r="O89" s="140"/>
      <c r="P89" s="140"/>
      <c r="Q89" s="140"/>
    </row>
    <row r="90" spans="1:13" ht="12.75" hidden="1">
      <c r="A90" s="21" t="s">
        <v>3</v>
      </c>
      <c r="B90" s="95">
        <f>$B$5/12*($B$9-D87)</f>
        <v>4435.627275636485</v>
      </c>
      <c r="C90" s="96">
        <f>MIN($B$13-B90,MAX(0,$B$9-C88))</f>
        <v>1012.5967355365119</v>
      </c>
      <c r="D90" s="96">
        <f>D87+C90</f>
        <v>52456.63662238374</v>
      </c>
      <c r="E90" s="26"/>
      <c r="F90" s="99"/>
      <c r="G90" s="95"/>
      <c r="H90" s="95"/>
      <c r="I90" s="95"/>
      <c r="J90" s="133"/>
      <c r="K90" s="95"/>
      <c r="L90" s="16"/>
      <c r="M90" s="56"/>
    </row>
    <row r="91" spans="1:13" ht="12.75" hidden="1">
      <c r="A91" s="21" t="s">
        <v>4</v>
      </c>
      <c r="B91" s="95">
        <f aca="true" t="shared" si="15" ref="B91:B101">$B$5/12*($B$9-D90)</f>
        <v>4429.931418999092</v>
      </c>
      <c r="C91" s="96">
        <f>MIN($B$13-B91,MAX(0,$B$9-D90))</f>
        <v>1018.2925921739052</v>
      </c>
      <c r="D91" s="96">
        <f aca="true" t="shared" si="16" ref="D91:D101">D90+C91</f>
        <v>53474.92921455765</v>
      </c>
      <c r="E91" s="26"/>
      <c r="F91" s="99"/>
      <c r="G91" s="95"/>
      <c r="H91" s="95"/>
      <c r="I91" s="95"/>
      <c r="J91" s="133"/>
      <c r="K91" s="95"/>
      <c r="L91" s="16"/>
      <c r="M91" s="56"/>
    </row>
    <row r="92" spans="1:13" ht="12.75" hidden="1">
      <c r="A92" s="21" t="s">
        <v>5</v>
      </c>
      <c r="B92" s="95">
        <f t="shared" si="15"/>
        <v>4424.203523168114</v>
      </c>
      <c r="C92" s="96">
        <f aca="true" t="shared" si="17" ref="C92:C101">MIN($B$13-B92,MAX(0,$B$9-D91))</f>
        <v>1024.0204880048832</v>
      </c>
      <c r="D92" s="96">
        <f t="shared" si="16"/>
        <v>54498.94970256253</v>
      </c>
      <c r="E92" s="26"/>
      <c r="F92" s="99"/>
      <c r="G92" s="95"/>
      <c r="H92" s="95"/>
      <c r="I92" s="95"/>
      <c r="J92" s="133"/>
      <c r="K92" s="95"/>
      <c r="L92" s="16"/>
      <c r="M92" s="56"/>
    </row>
    <row r="93" spans="1:13" ht="12.75" hidden="1">
      <c r="A93" s="21" t="s">
        <v>6</v>
      </c>
      <c r="B93" s="95">
        <f t="shared" si="15"/>
        <v>4418.443407923086</v>
      </c>
      <c r="C93" s="96">
        <f t="shared" si="17"/>
        <v>1029.780603249911</v>
      </c>
      <c r="D93" s="96">
        <f t="shared" si="16"/>
        <v>55528.730305812445</v>
      </c>
      <c r="E93" s="26"/>
      <c r="F93" s="99"/>
      <c r="G93" s="95"/>
      <c r="H93" s="95"/>
      <c r="I93" s="95"/>
      <c r="J93" s="133"/>
      <c r="K93" s="95"/>
      <c r="L93" s="16"/>
      <c r="M93" s="56"/>
    </row>
    <row r="94" spans="1:13" ht="12.75" hidden="1">
      <c r="A94" s="21" t="s">
        <v>7</v>
      </c>
      <c r="B94" s="95">
        <f t="shared" si="15"/>
        <v>4412.650892029806</v>
      </c>
      <c r="C94" s="96">
        <f t="shared" si="17"/>
        <v>1035.5731191431914</v>
      </c>
      <c r="D94" s="96">
        <f t="shared" si="16"/>
        <v>56564.30342495564</v>
      </c>
      <c r="E94" s="26"/>
      <c r="F94" s="99"/>
      <c r="G94" s="95"/>
      <c r="H94" s="95"/>
      <c r="I94" s="95"/>
      <c r="J94" s="133"/>
      <c r="K94" s="95"/>
      <c r="L94" s="16"/>
      <c r="M94" s="56"/>
    </row>
    <row r="95" spans="1:13" ht="12.75" hidden="1">
      <c r="A95" s="21" t="s">
        <v>8</v>
      </c>
      <c r="B95" s="95">
        <f t="shared" si="15"/>
        <v>4406.825793234625</v>
      </c>
      <c r="C95" s="96">
        <f t="shared" si="17"/>
        <v>1041.398217938372</v>
      </c>
      <c r="D95" s="96">
        <f t="shared" si="16"/>
        <v>57605.70164289401</v>
      </c>
      <c r="E95" s="26"/>
      <c r="F95" s="99"/>
      <c r="G95" s="95"/>
      <c r="H95" s="95"/>
      <c r="I95" s="95"/>
      <c r="J95" s="133"/>
      <c r="K95" s="95"/>
      <c r="L95" s="16"/>
      <c r="M95" s="56"/>
    </row>
    <row r="96" spans="1:13" ht="12.75" hidden="1">
      <c r="A96" s="21" t="s">
        <v>9</v>
      </c>
      <c r="B96" s="95">
        <f t="shared" si="15"/>
        <v>4400.967928258722</v>
      </c>
      <c r="C96" s="96">
        <f t="shared" si="17"/>
        <v>1047.2560829142749</v>
      </c>
      <c r="D96" s="96">
        <f t="shared" si="16"/>
        <v>58652.957725808286</v>
      </c>
      <c r="E96" s="26"/>
      <c r="F96" s="99"/>
      <c r="G96" s="95"/>
      <c r="H96" s="95"/>
      <c r="I96" s="95"/>
      <c r="J96" s="133"/>
      <c r="K96" s="95"/>
      <c r="L96" s="16"/>
      <c r="M96" s="56"/>
    </row>
    <row r="97" spans="1:13" ht="12.75" hidden="1">
      <c r="A97" s="21" t="s">
        <v>10</v>
      </c>
      <c r="B97" s="95">
        <f t="shared" si="15"/>
        <v>4395.077112792329</v>
      </c>
      <c r="C97" s="96">
        <f t="shared" si="17"/>
        <v>1053.146898380668</v>
      </c>
      <c r="D97" s="96">
        <f t="shared" si="16"/>
        <v>59706.104624188956</v>
      </c>
      <c r="E97" s="26"/>
      <c r="F97" s="99"/>
      <c r="G97" s="95"/>
      <c r="H97" s="95"/>
      <c r="I97" s="95"/>
      <c r="J97" s="133"/>
      <c r="K97" s="95"/>
      <c r="L97" s="16"/>
      <c r="M97" s="56"/>
    </row>
    <row r="98" spans="1:13" ht="12.75" hidden="1">
      <c r="A98" s="21" t="s">
        <v>11</v>
      </c>
      <c r="B98" s="95">
        <f t="shared" si="15"/>
        <v>4389.153161488937</v>
      </c>
      <c r="C98" s="96">
        <f t="shared" si="17"/>
        <v>1059.0708496840598</v>
      </c>
      <c r="D98" s="96">
        <f t="shared" si="16"/>
        <v>60765.175473873016</v>
      </c>
      <c r="E98" s="26"/>
      <c r="F98" s="99"/>
      <c r="G98" s="95"/>
      <c r="H98" s="95"/>
      <c r="I98" s="95"/>
      <c r="J98" s="133"/>
      <c r="K98" s="95"/>
      <c r="L98" s="16"/>
      <c r="M98" s="56"/>
    </row>
    <row r="99" spans="1:13" ht="12.75" hidden="1">
      <c r="A99" s="21" t="s">
        <v>12</v>
      </c>
      <c r="B99" s="95">
        <f t="shared" si="15"/>
        <v>4383.195887959465</v>
      </c>
      <c r="C99" s="96">
        <f t="shared" si="17"/>
        <v>1065.0281232135321</v>
      </c>
      <c r="D99" s="96">
        <f t="shared" si="16"/>
        <v>61830.20359708655</v>
      </c>
      <c r="E99" s="26"/>
      <c r="F99" s="99"/>
      <c r="G99" s="95"/>
      <c r="H99" s="95"/>
      <c r="I99" s="95"/>
      <c r="J99" s="133"/>
      <c r="K99" s="95"/>
      <c r="L99" s="16"/>
      <c r="M99" s="56"/>
    </row>
    <row r="100" spans="1:13" ht="12.75" hidden="1">
      <c r="A100" s="21" t="s">
        <v>13</v>
      </c>
      <c r="B100" s="95">
        <f t="shared" si="15"/>
        <v>4377.205104766388</v>
      </c>
      <c r="C100" s="96">
        <f t="shared" si="17"/>
        <v>1071.018906406609</v>
      </c>
      <c r="D100" s="96">
        <f t="shared" si="16"/>
        <v>62901.222503493154</v>
      </c>
      <c r="E100" s="26"/>
      <c r="F100" s="99"/>
      <c r="G100" s="95"/>
      <c r="H100" s="95"/>
      <c r="I100" s="95"/>
      <c r="J100" s="133"/>
      <c r="K100" s="95"/>
      <c r="L100" s="16"/>
      <c r="M100" s="56"/>
    </row>
    <row r="101" spans="1:13" ht="12.75" hidden="1">
      <c r="A101" s="21" t="s">
        <v>14</v>
      </c>
      <c r="B101" s="95">
        <f t="shared" si="15"/>
        <v>4371.180623417851</v>
      </c>
      <c r="C101" s="96">
        <f t="shared" si="17"/>
        <v>1077.043387755146</v>
      </c>
      <c r="D101" s="96">
        <f t="shared" si="16"/>
        <v>63978.2658912483</v>
      </c>
      <c r="E101" s="26"/>
      <c r="F101" s="99"/>
      <c r="G101" s="95"/>
      <c r="H101" s="95"/>
      <c r="I101" s="95"/>
      <c r="J101" s="133"/>
      <c r="K101" s="95"/>
      <c r="L101" s="16"/>
      <c r="M101" s="56"/>
    </row>
    <row r="102" spans="1:14" ht="12.75">
      <c r="A102" s="21" t="s">
        <v>29</v>
      </c>
      <c r="B102" s="95">
        <f>B88+SUM(B90:B101)</f>
        <v>335013.8629132075</v>
      </c>
      <c r="C102" s="96">
        <f>D101</f>
        <v>63978.2658912483</v>
      </c>
      <c r="D102" s="96"/>
      <c r="E102" s="95">
        <f>MAX(0,MAX(0,((B102-B88)-MAX($M$144,$M$47*$M$89))*Fed_marginal_rate)+MAX(0,((B102-B88)-$M$158)*State_marginal_rate)-$P$47)</f>
        <v>15020.406510478493</v>
      </c>
      <c r="F102" s="99">
        <f>$B$13-E102/12+($F$4*(1-$F$11)*$B$3+$F$5+$F$6)/12</f>
        <v>5452.0734686331225</v>
      </c>
      <c r="G102" s="95">
        <f>(F102-$F$14*(1+$F$15)^5)</f>
        <v>1394.614208583123</v>
      </c>
      <c r="H102" s="95">
        <f>((FV($F$10/12,12,-G102)-12*G102)+I88*$F$10)*(1-$F$11)</f>
        <v>6736.632378363591</v>
      </c>
      <c r="I102" s="95">
        <f>12*G102+H102+I88</f>
        <v>143798.9144413341</v>
      </c>
      <c r="J102" s="133">
        <f>F102-(C102-C88)/12</f>
        <v>4407.5546349330325</v>
      </c>
      <c r="K102" s="95"/>
      <c r="L102" s="14" t="s">
        <v>86</v>
      </c>
      <c r="M102" s="55">
        <f>M88*M46+M89*M47+M60+IF(Renting,0,B3*F4)+M61+M74+$P$47</f>
        <v>57080.18916882655</v>
      </c>
      <c r="N102" s="54">
        <f>(M102+M61+M74)/(M32-M75)</f>
        <v>0.3662532767441304</v>
      </c>
    </row>
    <row r="103" spans="1:16" ht="12.75">
      <c r="A103" s="130" t="s">
        <v>48</v>
      </c>
      <c r="B103" s="93"/>
      <c r="C103" s="93"/>
      <c r="D103" s="26"/>
      <c r="E103" s="26"/>
      <c r="F103" s="99"/>
      <c r="G103" s="95"/>
      <c r="H103" s="95"/>
      <c r="I103" s="95"/>
      <c r="J103" s="133"/>
      <c r="K103" s="95"/>
      <c r="L103" s="18" t="s">
        <v>145</v>
      </c>
      <c r="M103" s="57">
        <f>M32-M102-M75</f>
        <v>134319.81083117344</v>
      </c>
      <c r="N103" s="78" t="b">
        <v>0</v>
      </c>
      <c r="P103" s="148"/>
    </row>
    <row r="104" spans="1:13" ht="12.75" hidden="1">
      <c r="A104" s="21" t="s">
        <v>3</v>
      </c>
      <c r="B104" s="95">
        <f>$B$5/12*($B$9-D101)</f>
        <v>4365.122254361729</v>
      </c>
      <c r="C104" s="96">
        <f>MIN($B$13-B104,MAX(0,$B$9-C102))</f>
        <v>1083.1017568112684</v>
      </c>
      <c r="D104" s="96">
        <f>D101+C104</f>
        <v>65061.36764805957</v>
      </c>
      <c r="E104" s="26"/>
      <c r="F104" s="99"/>
      <c r="G104" s="95"/>
      <c r="H104" s="95"/>
      <c r="I104" s="95"/>
      <c r="J104" s="133"/>
      <c r="K104" s="95"/>
      <c r="L104" s="16"/>
      <c r="M104" s="19"/>
    </row>
    <row r="105" spans="1:13" ht="12.75" hidden="1">
      <c r="A105" s="21" t="s">
        <v>4</v>
      </c>
      <c r="B105" s="95">
        <f aca="true" t="shared" si="18" ref="B105:B115">$B$5/12*($B$9-D104)</f>
        <v>4359.029806979665</v>
      </c>
      <c r="C105" s="96">
        <f>MIN($B$13-B105,MAX(0,$B$9-D104))</f>
        <v>1089.1942041933316</v>
      </c>
      <c r="D105" s="96">
        <f aca="true" t="shared" si="19" ref="D105:D115">D104+C105</f>
        <v>66150.5618522529</v>
      </c>
      <c r="E105" s="26"/>
      <c r="F105" s="99"/>
      <c r="G105" s="95"/>
      <c r="H105" s="95"/>
      <c r="I105" s="95"/>
      <c r="J105" s="133"/>
      <c r="K105" s="95"/>
      <c r="L105" s="16"/>
      <c r="M105" s="19"/>
    </row>
    <row r="106" spans="1:13" ht="12.75" hidden="1">
      <c r="A106" s="21" t="s">
        <v>5</v>
      </c>
      <c r="B106" s="95">
        <f t="shared" si="18"/>
        <v>4352.903089581077</v>
      </c>
      <c r="C106" s="96">
        <f aca="true" t="shared" si="20" ref="C106:C115">MIN($B$13-B106,MAX(0,$B$9-D105))</f>
        <v>1095.3209215919196</v>
      </c>
      <c r="D106" s="96">
        <f t="shared" si="19"/>
        <v>67245.88277384482</v>
      </c>
      <c r="E106" s="26"/>
      <c r="F106" s="99"/>
      <c r="G106" s="95"/>
      <c r="H106" s="95"/>
      <c r="I106" s="95"/>
      <c r="J106" s="133"/>
      <c r="K106" s="95"/>
      <c r="L106" s="16"/>
      <c r="M106" s="19"/>
    </row>
    <row r="107" spans="1:13" ht="12.75" hidden="1">
      <c r="A107" s="21" t="s">
        <v>6</v>
      </c>
      <c r="B107" s="95">
        <f t="shared" si="18"/>
        <v>4346.741909397124</v>
      </c>
      <c r="C107" s="96">
        <f t="shared" si="20"/>
        <v>1101.4821017758732</v>
      </c>
      <c r="D107" s="96">
        <f t="shared" si="19"/>
        <v>68347.3648756207</v>
      </c>
      <c r="E107" s="26"/>
      <c r="F107" s="99"/>
      <c r="G107" s="95"/>
      <c r="H107" s="95"/>
      <c r="I107" s="95"/>
      <c r="J107" s="133"/>
      <c r="K107" s="95"/>
      <c r="L107" s="16"/>
      <c r="M107" s="19"/>
    </row>
    <row r="108" spans="1:13" ht="12.75" hidden="1">
      <c r="A108" s="21" t="s">
        <v>7</v>
      </c>
      <c r="B108" s="95">
        <f t="shared" si="18"/>
        <v>4340.546072574634</v>
      </c>
      <c r="C108" s="96">
        <f t="shared" si="20"/>
        <v>1107.6779385983627</v>
      </c>
      <c r="D108" s="96">
        <f t="shared" si="19"/>
        <v>69455.04281421906</v>
      </c>
      <c r="E108" s="26"/>
      <c r="F108" s="99"/>
      <c r="G108" s="95"/>
      <c r="H108" s="95"/>
      <c r="I108" s="95"/>
      <c r="J108" s="133"/>
      <c r="K108" s="95"/>
      <c r="L108" s="16"/>
      <c r="M108" s="19"/>
    </row>
    <row r="109" spans="1:13" ht="12.75" hidden="1">
      <c r="A109" s="21" t="s">
        <v>8</v>
      </c>
      <c r="B109" s="95">
        <f t="shared" si="18"/>
        <v>4334.315384170019</v>
      </c>
      <c r="C109" s="96">
        <f t="shared" si="20"/>
        <v>1113.9086270029784</v>
      </c>
      <c r="D109" s="96">
        <f t="shared" si="19"/>
        <v>70568.95144122205</v>
      </c>
      <c r="E109" s="26"/>
      <c r="F109" s="99"/>
      <c r="G109" s="95"/>
      <c r="H109" s="95"/>
      <c r="I109" s="95"/>
      <c r="J109" s="133"/>
      <c r="K109" s="95"/>
      <c r="L109" s="16"/>
      <c r="M109" s="19"/>
    </row>
    <row r="110" spans="1:13" ht="12.75" hidden="1">
      <c r="A110" s="21" t="s">
        <v>9</v>
      </c>
      <c r="B110" s="95">
        <f t="shared" si="18"/>
        <v>4328.049648143126</v>
      </c>
      <c r="C110" s="96">
        <f t="shared" si="20"/>
        <v>1120.1743630298706</v>
      </c>
      <c r="D110" s="96">
        <f t="shared" si="19"/>
        <v>71689.12580425192</v>
      </c>
      <c r="E110" s="26"/>
      <c r="F110" s="99"/>
      <c r="G110" s="95"/>
      <c r="H110" s="95"/>
      <c r="I110" s="95"/>
      <c r="J110" s="133"/>
      <c r="K110" s="95"/>
      <c r="L110" s="16"/>
      <c r="M110" s="19"/>
    </row>
    <row r="111" spans="1:13" ht="12.75" hidden="1">
      <c r="A111" s="21" t="s">
        <v>10</v>
      </c>
      <c r="B111" s="95">
        <f t="shared" si="18"/>
        <v>4321.748667351084</v>
      </c>
      <c r="C111" s="96">
        <f t="shared" si="20"/>
        <v>1126.4753438219132</v>
      </c>
      <c r="D111" s="96">
        <f t="shared" si="19"/>
        <v>72815.60114807384</v>
      </c>
      <c r="E111" s="26"/>
      <c r="F111" s="99"/>
      <c r="G111" s="95"/>
      <c r="H111" s="95"/>
      <c r="I111" s="95"/>
      <c r="J111" s="133"/>
      <c r="K111" s="95"/>
      <c r="L111" s="16"/>
      <c r="M111" s="19"/>
    </row>
    <row r="112" spans="1:13" ht="12.75" hidden="1">
      <c r="A112" s="21" t="s">
        <v>11</v>
      </c>
      <c r="B112" s="95">
        <f t="shared" si="18"/>
        <v>4315.412243542085</v>
      </c>
      <c r="C112" s="96">
        <f t="shared" si="20"/>
        <v>1132.811767630912</v>
      </c>
      <c r="D112" s="96">
        <f t="shared" si="19"/>
        <v>73948.41291570474</v>
      </c>
      <c r="E112" s="26"/>
      <c r="F112" s="99"/>
      <c r="G112" s="95"/>
      <c r="H112" s="95"/>
      <c r="I112" s="95"/>
      <c r="J112" s="133"/>
      <c r="K112" s="95"/>
      <c r="L112" s="16"/>
      <c r="M112" s="19"/>
    </row>
    <row r="113" spans="1:13" ht="12.75" hidden="1">
      <c r="A113" s="21" t="s">
        <v>12</v>
      </c>
      <c r="B113" s="95">
        <f t="shared" si="18"/>
        <v>4309.040177349161</v>
      </c>
      <c r="C113" s="96">
        <f t="shared" si="20"/>
        <v>1139.1838338238358</v>
      </c>
      <c r="D113" s="96">
        <f t="shared" si="19"/>
        <v>75087.59674952857</v>
      </c>
      <c r="E113" s="26"/>
      <c r="F113" s="99"/>
      <c r="G113" s="95"/>
      <c r="H113" s="95"/>
      <c r="I113" s="95"/>
      <c r="J113" s="133"/>
      <c r="K113" s="95"/>
      <c r="L113" s="16"/>
      <c r="M113" s="19"/>
    </row>
    <row r="114" spans="1:13" ht="12.75" hidden="1">
      <c r="A114" s="21" t="s">
        <v>13</v>
      </c>
      <c r="B114" s="95">
        <f t="shared" si="18"/>
        <v>4302.632268283903</v>
      </c>
      <c r="C114" s="96">
        <f t="shared" si="20"/>
        <v>1145.5917428890943</v>
      </c>
      <c r="D114" s="96">
        <f t="shared" si="19"/>
        <v>76233.18849241767</v>
      </c>
      <c r="E114" s="26"/>
      <c r="F114" s="99"/>
      <c r="G114" s="95"/>
      <c r="H114" s="95"/>
      <c r="I114" s="95"/>
      <c r="J114" s="133"/>
      <c r="K114" s="95"/>
      <c r="L114" s="16"/>
      <c r="M114" s="19"/>
    </row>
    <row r="115" spans="1:13" ht="12.75" hidden="1">
      <c r="A115" s="21" t="s">
        <v>14</v>
      </c>
      <c r="B115" s="95">
        <f t="shared" si="18"/>
        <v>4296.188314730151</v>
      </c>
      <c r="C115" s="96">
        <f t="shared" si="20"/>
        <v>1152.0356964428456</v>
      </c>
      <c r="D115" s="96">
        <f t="shared" si="19"/>
        <v>77385.22418886052</v>
      </c>
      <c r="E115" s="26"/>
      <c r="F115" s="99"/>
      <c r="G115" s="95"/>
      <c r="H115" s="95"/>
      <c r="I115" s="95"/>
      <c r="J115" s="133"/>
      <c r="K115" s="95"/>
      <c r="L115" s="16"/>
      <c r="M115" s="19"/>
    </row>
    <row r="116" spans="1:13" ht="13.5" thickBot="1">
      <c r="A116" s="21" t="s">
        <v>29</v>
      </c>
      <c r="B116" s="95">
        <f>B102+SUM(B104:B115)</f>
        <v>386985.59274967125</v>
      </c>
      <c r="C116" s="96">
        <f>D115</f>
        <v>77385.22418886052</v>
      </c>
      <c r="D116" s="96"/>
      <c r="E116" s="95">
        <f>MAX(0,MAX(0,((B116-B102)-MAX($M$144,$M$47*$M$89))*Fed_marginal_rate)+MAX(0,((B116-B102)-$M$158)*State_marginal_rate)-$P$47)</f>
        <v>14721.059333907067</v>
      </c>
      <c r="F116" s="99">
        <f>$B$13-E116/12+($F$4*(1-$F$11)*$B$3+$F$5+$F$6)/12</f>
        <v>5477.019066680742</v>
      </c>
      <c r="G116" s="95">
        <f>(F116-$F$14*(1+$F$15)^6)</f>
        <v>1297.8360288292424</v>
      </c>
      <c r="H116" s="95">
        <f>((FV($F$10/12,12,-G116)-12*G116)+I102*$F$10)*(1-$F$11)</f>
        <v>7941.713084781944</v>
      </c>
      <c r="I116" s="95">
        <f>12*G116+H116+I102</f>
        <v>167314.65987206696</v>
      </c>
      <c r="J116" s="133">
        <f>F116-(C116-C102)/12</f>
        <v>4359.772541879724</v>
      </c>
      <c r="K116" s="95"/>
      <c r="L116" s="177" t="s">
        <v>91</v>
      </c>
      <c r="M116" s="20">
        <f>(M103-IF(Renting,12*F14,12*B13+F5+F6))/12</f>
        <v>5245.0935580914565</v>
      </c>
    </row>
    <row r="117" spans="1:16" ht="12.75">
      <c r="A117" s="130" t="s">
        <v>20</v>
      </c>
      <c r="B117" s="93"/>
      <c r="C117" s="93"/>
      <c r="D117" s="26"/>
      <c r="E117" s="26"/>
      <c r="F117" s="99"/>
      <c r="G117" s="95"/>
      <c r="H117" s="95"/>
      <c r="I117" s="95"/>
      <c r="J117" s="133"/>
      <c r="K117" s="95"/>
      <c r="O117" s="121"/>
      <c r="P117" s="121"/>
    </row>
    <row r="118" spans="1:16" ht="12.75" hidden="1">
      <c r="A118" s="21" t="s">
        <v>3</v>
      </c>
      <c r="B118" s="95">
        <f>$B$5/12*($B$9-D115)</f>
        <v>4289.7081139376605</v>
      </c>
      <c r="C118" s="96">
        <f>MIN($B$13-B118,MAX(0,$B$9-C116))</f>
        <v>1158.5158972353365</v>
      </c>
      <c r="D118" s="96">
        <f>D115+C118</f>
        <v>78543.74008609586</v>
      </c>
      <c r="E118" s="26"/>
      <c r="F118" s="99"/>
      <c r="G118" s="95"/>
      <c r="H118" s="95"/>
      <c r="I118" s="95"/>
      <c r="J118" s="133"/>
      <c r="K118" s="95"/>
      <c r="P118" s="121"/>
    </row>
    <row r="119" spans="1:16" ht="12.75" hidden="1">
      <c r="A119" s="21" t="s">
        <v>4</v>
      </c>
      <c r="B119" s="95">
        <f aca="true" t="shared" si="21" ref="B119:B129">$B$5/12*($B$9-D118)</f>
        <v>4283.191462015711</v>
      </c>
      <c r="C119" s="96">
        <f>MIN($B$13-B119,MAX(0,$B$9-D118))</f>
        <v>1165.0325491572858</v>
      </c>
      <c r="D119" s="96">
        <f aca="true" t="shared" si="22" ref="D119:D129">D118+C119</f>
        <v>79708.77263525315</v>
      </c>
      <c r="E119" s="26"/>
      <c r="F119" s="99"/>
      <c r="G119" s="95"/>
      <c r="H119" s="95"/>
      <c r="I119" s="95"/>
      <c r="J119" s="133"/>
      <c r="K119" s="95"/>
      <c r="P119" s="121"/>
    </row>
    <row r="120" spans="1:16" ht="12.75" hidden="1">
      <c r="A120" s="21" t="s">
        <v>5</v>
      </c>
      <c r="B120" s="95">
        <f t="shared" si="21"/>
        <v>4276.638153926701</v>
      </c>
      <c r="C120" s="96">
        <f aca="true" t="shared" si="23" ref="C120:C129">MIN($B$13-B120,MAX(0,$B$9-D119))</f>
        <v>1171.5858572462957</v>
      </c>
      <c r="D120" s="96">
        <f t="shared" si="22"/>
        <v>80880.35849249944</v>
      </c>
      <c r="E120" s="26"/>
      <c r="F120" s="99"/>
      <c r="G120" s="95"/>
      <c r="H120" s="95"/>
      <c r="I120" s="95"/>
      <c r="J120" s="133"/>
      <c r="K120" s="95"/>
      <c r="P120" s="121"/>
    </row>
    <row r="121" spans="1:16" ht="12.75" hidden="1">
      <c r="A121" s="21" t="s">
        <v>6</v>
      </c>
      <c r="B121" s="95">
        <f t="shared" si="21"/>
        <v>4270.0479834796915</v>
      </c>
      <c r="C121" s="96">
        <f t="shared" si="23"/>
        <v>1178.1760276933055</v>
      </c>
      <c r="D121" s="96">
        <f t="shared" si="22"/>
        <v>82058.53452019274</v>
      </c>
      <c r="E121" s="26"/>
      <c r="F121" s="99"/>
      <c r="G121" s="95"/>
      <c r="H121" s="95"/>
      <c r="I121" s="95"/>
      <c r="J121" s="133"/>
      <c r="K121" s="95"/>
      <c r="P121" s="121"/>
    </row>
    <row r="122" spans="1:16" ht="12.75" hidden="1">
      <c r="A122" s="21" t="s">
        <v>7</v>
      </c>
      <c r="B122" s="95">
        <f t="shared" si="21"/>
        <v>4263.420743323916</v>
      </c>
      <c r="C122" s="96">
        <f t="shared" si="23"/>
        <v>1184.8032678490808</v>
      </c>
      <c r="D122" s="96">
        <f t="shared" si="22"/>
        <v>83243.33778804183</v>
      </c>
      <c r="E122" s="26"/>
      <c r="F122" s="99"/>
      <c r="G122" s="95"/>
      <c r="H122" s="95"/>
      <c r="I122" s="95"/>
      <c r="J122" s="133"/>
      <c r="K122" s="95"/>
      <c r="P122" s="121"/>
    </row>
    <row r="123" spans="1:16" ht="12.75" hidden="1">
      <c r="A123" s="21" t="s">
        <v>8</v>
      </c>
      <c r="B123" s="95">
        <f t="shared" si="21"/>
        <v>4256.756224942265</v>
      </c>
      <c r="C123" s="96">
        <f t="shared" si="23"/>
        <v>1191.4677862307317</v>
      </c>
      <c r="D123" s="96">
        <f t="shared" si="22"/>
        <v>84434.80557427256</v>
      </c>
      <c r="E123" s="26"/>
      <c r="F123" s="99"/>
      <c r="G123" s="95"/>
      <c r="H123" s="95"/>
      <c r="I123" s="95"/>
      <c r="J123" s="133"/>
      <c r="K123" s="95"/>
      <c r="P123" s="121"/>
    </row>
    <row r="124" spans="1:16" ht="12.75" hidden="1">
      <c r="A124" s="21" t="s">
        <v>9</v>
      </c>
      <c r="B124" s="95">
        <f t="shared" si="21"/>
        <v>4250.054218644717</v>
      </c>
      <c r="C124" s="96">
        <f t="shared" si="23"/>
        <v>1198.1697925282797</v>
      </c>
      <c r="D124" s="96">
        <f t="shared" si="22"/>
        <v>85632.97536680083</v>
      </c>
      <c r="E124" s="26"/>
      <c r="F124" s="99"/>
      <c r="G124" s="95"/>
      <c r="H124" s="95"/>
      <c r="I124" s="95"/>
      <c r="J124" s="133"/>
      <c r="K124" s="95"/>
      <c r="P124" s="121"/>
    </row>
    <row r="125" spans="1:16" ht="12.75" hidden="1">
      <c r="A125" s="21" t="s">
        <v>10</v>
      </c>
      <c r="B125" s="95">
        <f t="shared" si="21"/>
        <v>4243.314513561746</v>
      </c>
      <c r="C125" s="96">
        <f t="shared" si="23"/>
        <v>1204.909497611251</v>
      </c>
      <c r="D125" s="96">
        <f t="shared" si="22"/>
        <v>86837.88486441209</v>
      </c>
      <c r="E125" s="26"/>
      <c r="F125" s="99"/>
      <c r="G125" s="95"/>
      <c r="H125" s="95"/>
      <c r="I125" s="95"/>
      <c r="J125" s="133"/>
      <c r="K125" s="95"/>
      <c r="P125" s="121"/>
    </row>
    <row r="126" spans="1:16" ht="12.75" hidden="1">
      <c r="A126" s="21" t="s">
        <v>11</v>
      </c>
      <c r="B126" s="95">
        <f t="shared" si="21"/>
        <v>4236.536897637682</v>
      </c>
      <c r="C126" s="96">
        <f t="shared" si="23"/>
        <v>1211.687113535315</v>
      </c>
      <c r="D126" s="96">
        <f t="shared" si="22"/>
        <v>88049.5719779474</v>
      </c>
      <c r="E126" s="26"/>
      <c r="F126" s="99"/>
      <c r="G126" s="95"/>
      <c r="H126" s="95"/>
      <c r="I126" s="95"/>
      <c r="J126" s="133"/>
      <c r="K126" s="95"/>
      <c r="P126" s="121"/>
    </row>
    <row r="127" spans="1:16" ht="12.75" hidden="1">
      <c r="A127" s="21" t="s">
        <v>12</v>
      </c>
      <c r="B127" s="95">
        <f t="shared" si="21"/>
        <v>4229.721157624046</v>
      </c>
      <c r="C127" s="96">
        <f t="shared" si="23"/>
        <v>1218.502853548951</v>
      </c>
      <c r="D127" s="96">
        <f t="shared" si="22"/>
        <v>89268.07483149636</v>
      </c>
      <c r="E127" s="26"/>
      <c r="F127" s="99"/>
      <c r="G127" s="95"/>
      <c r="H127" s="95"/>
      <c r="I127" s="95"/>
      <c r="J127" s="133"/>
      <c r="K127" s="95"/>
      <c r="P127" s="121"/>
    </row>
    <row r="128" spans="1:16" ht="12.75" hidden="1">
      <c r="A128" s="21" t="s">
        <v>13</v>
      </c>
      <c r="B128" s="95">
        <f t="shared" si="21"/>
        <v>4222.867079072834</v>
      </c>
      <c r="C128" s="96">
        <f t="shared" si="23"/>
        <v>1225.3569321001632</v>
      </c>
      <c r="D128" s="96">
        <f t="shared" si="22"/>
        <v>90493.43176359651</v>
      </c>
      <c r="E128" s="26"/>
      <c r="F128" s="99"/>
      <c r="G128" s="95"/>
      <c r="H128" s="95"/>
      <c r="I128" s="95"/>
      <c r="J128" s="133"/>
      <c r="K128" s="95"/>
      <c r="P128" s="121"/>
    </row>
    <row r="129" spans="1:16" ht="12.75" hidden="1">
      <c r="A129" s="21" t="s">
        <v>14</v>
      </c>
      <c r="B129" s="95">
        <f t="shared" si="21"/>
        <v>4215.97444632977</v>
      </c>
      <c r="C129" s="96">
        <f t="shared" si="23"/>
        <v>1232.2495648432268</v>
      </c>
      <c r="D129" s="96">
        <f t="shared" si="22"/>
        <v>91725.68132843974</v>
      </c>
      <c r="E129" s="26"/>
      <c r="F129" s="99"/>
      <c r="G129" s="95"/>
      <c r="H129" s="95"/>
      <c r="I129" s="95"/>
      <c r="J129" s="133"/>
      <c r="K129" s="95"/>
      <c r="P129" s="121"/>
    </row>
    <row r="130" spans="1:16" ht="12.75">
      <c r="A130" s="21" t="s">
        <v>29</v>
      </c>
      <c r="B130" s="95">
        <f>B116+SUM(B118:B129)</f>
        <v>438023.823744168</v>
      </c>
      <c r="C130" s="96">
        <f>D129</f>
        <v>91725.68132843974</v>
      </c>
      <c r="D130" s="96"/>
      <c r="E130" s="95">
        <f>MAX(0,MAX(0,((B130-B116)-MAX($M$144,$M$47*$M$89))*Fed_marginal_rate)+MAX(0,((B130-B116)-$M$158)*State_marginal_rate)-$P$47)</f>
        <v>14400.869231112378</v>
      </c>
      <c r="F130" s="99">
        <f>$B$13-E130/12+($F$4*(1-$F$11)*$B$3+$F$5+$F$6)/12</f>
        <v>5503.701575246966</v>
      </c>
      <c r="G130" s="95">
        <f>(F130-$F$14*(1+$F$15)^7)</f>
        <v>1199.143046259921</v>
      </c>
      <c r="H130" s="95">
        <f>((FV($F$10/12,12,-G130)-12*G130)+I116*$F$10)*(1-$F$11)</f>
        <v>9148.526881210199</v>
      </c>
      <c r="I130" s="95">
        <f>12*G130+H130+I116</f>
        <v>190852.9033083962</v>
      </c>
      <c r="J130" s="133">
        <f>F130-(C130-C116)/12</f>
        <v>4308.663480282032</v>
      </c>
      <c r="K130" s="95"/>
      <c r="M130" s="78" t="b">
        <v>0</v>
      </c>
      <c r="O130" s="11"/>
      <c r="P130" s="121"/>
    </row>
    <row r="131" spans="1:11" ht="12.75">
      <c r="A131" s="130" t="s">
        <v>49</v>
      </c>
      <c r="B131" s="93"/>
      <c r="C131" s="93"/>
      <c r="D131" s="26"/>
      <c r="E131" s="26"/>
      <c r="F131" s="99"/>
      <c r="G131" s="95"/>
      <c r="H131" s="95"/>
      <c r="I131" s="95"/>
      <c r="J131" s="133"/>
      <c r="K131" s="95"/>
    </row>
    <row r="132" spans="1:13" ht="12.75" hidden="1">
      <c r="A132" s="21" t="s">
        <v>3</v>
      </c>
      <c r="B132" s="95">
        <f>$B$5/12*($B$9-D129)</f>
        <v>4209.043042527527</v>
      </c>
      <c r="C132" s="96">
        <f>MIN($B$13-B132,MAX(0,$B$9-C130))</f>
        <v>1239.1809686454699</v>
      </c>
      <c r="D132" s="96">
        <f>D129+C132</f>
        <v>92964.8622970852</v>
      </c>
      <c r="E132" s="26"/>
      <c r="F132" s="99"/>
      <c r="G132" s="95"/>
      <c r="H132" s="95"/>
      <c r="I132" s="95"/>
      <c r="J132" s="133"/>
      <c r="K132" s="95"/>
      <c r="M132" s="61"/>
    </row>
    <row r="133" spans="1:13" ht="12.75" hidden="1">
      <c r="A133" s="21" t="s">
        <v>4</v>
      </c>
      <c r="B133" s="95">
        <f aca="true" t="shared" si="24" ref="B133:B143">$B$5/12*($B$9-D132)</f>
        <v>4202.072649578896</v>
      </c>
      <c r="C133" s="96">
        <f>MIN($B$13-B133,MAX(0,$B$9-D132))</f>
        <v>1246.1513615941012</v>
      </c>
      <c r="D133" s="96">
        <f aca="true" t="shared" si="25" ref="D133:D143">D132+C133</f>
        <v>94211.01365867931</v>
      </c>
      <c r="E133" s="26"/>
      <c r="F133" s="99"/>
      <c r="G133" s="95"/>
      <c r="H133" s="95"/>
      <c r="I133" s="95"/>
      <c r="J133" s="133"/>
      <c r="K133" s="95"/>
      <c r="M133" s="61"/>
    </row>
    <row r="134" spans="1:13" ht="12.75" hidden="1">
      <c r="A134" s="21" t="s">
        <v>5</v>
      </c>
      <c r="B134" s="95">
        <f t="shared" si="24"/>
        <v>4195.063048169929</v>
      </c>
      <c r="C134" s="96">
        <f aca="true" t="shared" si="26" ref="C134:C143">MIN($B$13-B134,MAX(0,$B$9-D133))</f>
        <v>1253.160963003068</v>
      </c>
      <c r="D134" s="96">
        <f t="shared" si="25"/>
        <v>95464.17462168238</v>
      </c>
      <c r="E134" s="26"/>
      <c r="F134" s="99"/>
      <c r="G134" s="95"/>
      <c r="H134" s="95"/>
      <c r="I134" s="95"/>
      <c r="J134" s="133"/>
      <c r="K134" s="95"/>
      <c r="M134" s="61"/>
    </row>
    <row r="135" spans="1:13" ht="12.75" hidden="1">
      <c r="A135" s="21" t="s">
        <v>6</v>
      </c>
      <c r="B135" s="95">
        <f t="shared" si="24"/>
        <v>4188.0140177530375</v>
      </c>
      <c r="C135" s="96">
        <f t="shared" si="26"/>
        <v>1260.2099934199596</v>
      </c>
      <c r="D135" s="96">
        <f t="shared" si="25"/>
        <v>96724.38461510235</v>
      </c>
      <c r="E135" s="26"/>
      <c r="F135" s="99"/>
      <c r="G135" s="95"/>
      <c r="H135" s="95"/>
      <c r="I135" s="95"/>
      <c r="J135" s="133"/>
      <c r="K135" s="95"/>
      <c r="M135" s="61"/>
    </row>
    <row r="136" spans="1:13" ht="12.75" hidden="1">
      <c r="A136" s="21" t="s">
        <v>7</v>
      </c>
      <c r="B136" s="95">
        <f t="shared" si="24"/>
        <v>4180.92533654005</v>
      </c>
      <c r="C136" s="96">
        <f t="shared" si="26"/>
        <v>1267.298674632947</v>
      </c>
      <c r="D136" s="96">
        <f t="shared" si="25"/>
        <v>97991.68328973529</v>
      </c>
      <c r="E136" s="26"/>
      <c r="F136" s="99"/>
      <c r="G136" s="95"/>
      <c r="H136" s="95"/>
      <c r="I136" s="95"/>
      <c r="J136" s="133"/>
      <c r="K136" s="95"/>
      <c r="M136" s="61"/>
    </row>
    <row r="137" spans="1:13" ht="12.75" hidden="1">
      <c r="A137" s="21" t="s">
        <v>8</v>
      </c>
      <c r="B137" s="95">
        <f t="shared" si="24"/>
        <v>4173.796781495239</v>
      </c>
      <c r="C137" s="96">
        <f t="shared" si="26"/>
        <v>1274.427229677758</v>
      </c>
      <c r="D137" s="96">
        <f t="shared" si="25"/>
        <v>99266.11051941305</v>
      </c>
      <c r="E137" s="26"/>
      <c r="F137" s="99"/>
      <c r="G137" s="95"/>
      <c r="H137" s="95"/>
      <c r="I137" s="95"/>
      <c r="J137" s="133"/>
      <c r="K137" s="95"/>
      <c r="M137" s="61"/>
    </row>
    <row r="138" spans="1:13" ht="12.75" hidden="1">
      <c r="A138" s="21" t="s">
        <v>9</v>
      </c>
      <c r="B138" s="95">
        <f t="shared" si="24"/>
        <v>4166.628128328302</v>
      </c>
      <c r="C138" s="96">
        <f t="shared" si="26"/>
        <v>1281.5958828446946</v>
      </c>
      <c r="D138" s="96">
        <f t="shared" si="25"/>
        <v>100547.70640225774</v>
      </c>
      <c r="E138" s="26"/>
      <c r="F138" s="99"/>
      <c r="G138" s="95"/>
      <c r="H138" s="95"/>
      <c r="I138" s="95"/>
      <c r="J138" s="133"/>
      <c r="K138" s="95"/>
      <c r="M138" s="61"/>
    </row>
    <row r="139" spans="1:13" ht="12.75" hidden="1">
      <c r="A139" s="21" t="s">
        <v>10</v>
      </c>
      <c r="B139" s="95">
        <f t="shared" si="24"/>
        <v>4159.4191514873</v>
      </c>
      <c r="C139" s="96">
        <f t="shared" si="26"/>
        <v>1288.804859685697</v>
      </c>
      <c r="D139" s="96">
        <f t="shared" si="25"/>
        <v>101836.51126194344</v>
      </c>
      <c r="E139" s="26"/>
      <c r="F139" s="99"/>
      <c r="G139" s="95"/>
      <c r="H139" s="95"/>
      <c r="I139" s="95"/>
      <c r="J139" s="133"/>
      <c r="K139" s="95"/>
      <c r="M139" s="61"/>
    </row>
    <row r="140" spans="1:13" ht="12.75" hidden="1">
      <c r="A140" s="21" t="s">
        <v>11</v>
      </c>
      <c r="B140" s="95">
        <f t="shared" si="24"/>
        <v>4152.169624151568</v>
      </c>
      <c r="C140" s="96">
        <f t="shared" si="26"/>
        <v>1296.0543870214287</v>
      </c>
      <c r="D140" s="96">
        <f t="shared" si="25"/>
        <v>103132.56564896487</v>
      </c>
      <c r="E140" s="26"/>
      <c r="F140" s="99"/>
      <c r="G140" s="95"/>
      <c r="H140" s="95"/>
      <c r="I140" s="95"/>
      <c r="J140" s="133"/>
      <c r="K140" s="95"/>
      <c r="M140" s="61"/>
    </row>
    <row r="141" spans="1:13" ht="12.75" hidden="1">
      <c r="A141" s="21" t="s">
        <v>12</v>
      </c>
      <c r="B141" s="95">
        <f t="shared" si="24"/>
        <v>4144.879318224574</v>
      </c>
      <c r="C141" s="96">
        <f t="shared" si="26"/>
        <v>1303.3446929484235</v>
      </c>
      <c r="D141" s="96">
        <f t="shared" si="25"/>
        <v>104435.91034191329</v>
      </c>
      <c r="E141" s="26"/>
      <c r="F141" s="99"/>
      <c r="G141" s="95"/>
      <c r="H141" s="95"/>
      <c r="I141" s="95"/>
      <c r="J141" s="133"/>
      <c r="K141" s="95"/>
      <c r="M141" s="61"/>
    </row>
    <row r="142" spans="1:13" ht="12.75" hidden="1">
      <c r="A142" s="21" t="s">
        <v>13</v>
      </c>
      <c r="B142" s="95">
        <f t="shared" si="24"/>
        <v>4137.548004326738</v>
      </c>
      <c r="C142" s="96">
        <f t="shared" si="26"/>
        <v>1310.676006846259</v>
      </c>
      <c r="D142" s="96">
        <f t="shared" si="25"/>
        <v>105746.58634875955</v>
      </c>
      <c r="E142" s="26"/>
      <c r="F142" s="99"/>
      <c r="G142" s="95"/>
      <c r="H142" s="95"/>
      <c r="I142" s="95"/>
      <c r="J142" s="133"/>
      <c r="K142" s="95"/>
      <c r="M142" s="61"/>
    </row>
    <row r="143" spans="1:13" ht="12.75" hidden="1">
      <c r="A143" s="21" t="s">
        <v>14</v>
      </c>
      <c r="B143" s="95">
        <f t="shared" si="24"/>
        <v>4130.175451788228</v>
      </c>
      <c r="C143" s="96">
        <f t="shared" si="26"/>
        <v>1318.0485593847689</v>
      </c>
      <c r="D143" s="96">
        <f t="shared" si="25"/>
        <v>107064.63490814432</v>
      </c>
      <c r="E143" s="26"/>
      <c r="F143" s="99"/>
      <c r="G143" s="95"/>
      <c r="H143" s="95"/>
      <c r="I143" s="95"/>
      <c r="J143" s="133"/>
      <c r="K143" s="95"/>
      <c r="M143" s="61"/>
    </row>
    <row r="144" spans="1:13" ht="12.75">
      <c r="A144" s="21" t="s">
        <v>29</v>
      </c>
      <c r="B144" s="95">
        <f>B130+SUM(B132:B143)</f>
        <v>488063.55829853937</v>
      </c>
      <c r="C144" s="96">
        <f>D143</f>
        <v>107064.63490814432</v>
      </c>
      <c r="D144" s="96"/>
      <c r="E144" s="95">
        <f>MAX(0,MAX(0,((B144-B130)-MAX($M$144,$M$47*$M$89))*Fed_marginal_rate)+MAX(0,((B144-B130)-$M$158)*State_marginal_rate)-$P$47)</f>
        <v>14058.384952149387</v>
      </c>
      <c r="F144" s="99">
        <f>$B$13-E144/12+($F$4*(1-$F$11)*$B$3+$F$5+$F$6)/12</f>
        <v>5532.241931827215</v>
      </c>
      <c r="G144" s="95">
        <f>(F144-$F$14*(1+$F$15)^8)</f>
        <v>1098.5466469705589</v>
      </c>
      <c r="H144" s="95">
        <f>((FV($F$10/12,12,-G144)-12*G144)+I130*$F$10)*(1-$F$11)</f>
        <v>10355.960520173216</v>
      </c>
      <c r="I144" s="95">
        <f>12*G144+H144+I130</f>
        <v>214391.42359221613</v>
      </c>
      <c r="J144" s="133">
        <f>F144-(C144-C130)/12</f>
        <v>4253.995800185166</v>
      </c>
      <c r="K144" s="95"/>
      <c r="L144" s="58" t="s">
        <v>94</v>
      </c>
      <c r="M144" s="60">
        <f>IF(M130,1,2)*5000</f>
        <v>10000</v>
      </c>
    </row>
    <row r="145" spans="1:13" ht="12.75">
      <c r="A145" s="130" t="s">
        <v>21</v>
      </c>
      <c r="B145" s="93"/>
      <c r="C145" s="93"/>
      <c r="D145" s="26"/>
      <c r="E145" s="26"/>
      <c r="F145" s="99"/>
      <c r="G145" s="95"/>
      <c r="H145" s="95"/>
      <c r="I145" s="95"/>
      <c r="J145" s="133"/>
      <c r="K145" s="95"/>
      <c r="L145" s="6" t="s">
        <v>99</v>
      </c>
      <c r="M145" s="60">
        <f>MAX(0,M33*3200*(1-MAX(0,M32-IF(M130,139500,209250))*0.02/2500))</f>
        <v>8774.4</v>
      </c>
    </row>
    <row r="146" spans="1:11" ht="12.75" hidden="1">
      <c r="A146" s="21" t="s">
        <v>3</v>
      </c>
      <c r="B146" s="95">
        <f>$B$5/12*($B$9-D143)</f>
        <v>4122.761428641688</v>
      </c>
      <c r="C146" s="96">
        <f>MIN($B$13-B146,MAX(0,$B$9-C144))</f>
        <v>1325.4625825313087</v>
      </c>
      <c r="D146" s="96">
        <f>D143+C146</f>
        <v>108390.09749067563</v>
      </c>
      <c r="E146" s="26"/>
      <c r="F146" s="99"/>
      <c r="G146" s="95"/>
      <c r="H146" s="95"/>
      <c r="I146" s="95"/>
      <c r="J146" s="133"/>
      <c r="K146" s="95"/>
    </row>
    <row r="147" spans="1:11" ht="12.75" hidden="1">
      <c r="A147" s="21" t="s">
        <v>4</v>
      </c>
      <c r="B147" s="95">
        <f aca="true" t="shared" si="27" ref="B147:B157">$B$5/12*($B$9-D146)</f>
        <v>4115.30570161495</v>
      </c>
      <c r="C147" s="96">
        <f>MIN($B$13-B147,MAX(0,$B$9-D146))</f>
        <v>1332.9183095580474</v>
      </c>
      <c r="D147" s="96">
        <f aca="true" t="shared" si="28" ref="D147:D157">D146+C147</f>
        <v>109723.01580023368</v>
      </c>
      <c r="E147" s="26"/>
      <c r="F147" s="99"/>
      <c r="G147" s="95"/>
      <c r="H147" s="95"/>
      <c r="I147" s="95"/>
      <c r="J147" s="133"/>
      <c r="K147" s="95"/>
    </row>
    <row r="148" spans="1:11" ht="12.75" hidden="1">
      <c r="A148" s="21" t="s">
        <v>5</v>
      </c>
      <c r="B148" s="95">
        <f t="shared" si="27"/>
        <v>4107.808036123686</v>
      </c>
      <c r="C148" s="96">
        <f aca="true" t="shared" si="29" ref="C148:C157">MIN($B$13-B148,MAX(0,$B$9-D147))</f>
        <v>1340.4159750493109</v>
      </c>
      <c r="D148" s="96">
        <f t="shared" si="28"/>
        <v>111063.431775283</v>
      </c>
      <c r="E148" s="26"/>
      <c r="F148" s="99"/>
      <c r="G148" s="95"/>
      <c r="H148" s="95"/>
      <c r="I148" s="95"/>
      <c r="J148" s="133"/>
      <c r="K148" s="95"/>
    </row>
    <row r="149" spans="1:11" ht="12.75" hidden="1">
      <c r="A149" s="21" t="s">
        <v>6</v>
      </c>
      <c r="B149" s="95">
        <f t="shared" si="27"/>
        <v>4100.268196264034</v>
      </c>
      <c r="C149" s="96">
        <f t="shared" si="29"/>
        <v>1347.9558149089635</v>
      </c>
      <c r="D149" s="96">
        <f t="shared" si="28"/>
        <v>112411.38759019195</v>
      </c>
      <c r="E149" s="26"/>
      <c r="F149" s="99"/>
      <c r="G149" s="95"/>
      <c r="H149" s="95"/>
      <c r="I149" s="95"/>
      <c r="J149" s="133"/>
      <c r="K149" s="95"/>
    </row>
    <row r="150" spans="1:11" ht="12.75" hidden="1">
      <c r="A150" s="21" t="s">
        <v>7</v>
      </c>
      <c r="B150" s="95">
        <f t="shared" si="27"/>
        <v>4092.685944805171</v>
      </c>
      <c r="C150" s="96">
        <f t="shared" si="29"/>
        <v>1355.538066367826</v>
      </c>
      <c r="D150" s="96">
        <f t="shared" si="28"/>
        <v>113766.92565655978</v>
      </c>
      <c r="E150" s="26"/>
      <c r="F150" s="99"/>
      <c r="G150" s="95"/>
      <c r="H150" s="95"/>
      <c r="I150" s="95"/>
      <c r="J150" s="133"/>
      <c r="K150" s="95"/>
    </row>
    <row r="151" spans="1:11" ht="12.75" hidden="1">
      <c r="A151" s="21" t="s">
        <v>8</v>
      </c>
      <c r="B151" s="95">
        <f t="shared" si="27"/>
        <v>4085.061043181852</v>
      </c>
      <c r="C151" s="96">
        <f t="shared" si="29"/>
        <v>1363.1629679911453</v>
      </c>
      <c r="D151" s="96">
        <f t="shared" si="28"/>
        <v>115130.08862455092</v>
      </c>
      <c r="E151" s="26"/>
      <c r="F151" s="99"/>
      <c r="G151" s="95"/>
      <c r="H151" s="95"/>
      <c r="I151" s="95"/>
      <c r="J151" s="133"/>
      <c r="K151" s="95"/>
    </row>
    <row r="152" spans="1:11" ht="12.75" hidden="1">
      <c r="A152" s="21" t="s">
        <v>9</v>
      </c>
      <c r="B152" s="95">
        <f t="shared" si="27"/>
        <v>4077.393251486901</v>
      </c>
      <c r="C152" s="96">
        <f t="shared" si="29"/>
        <v>1370.830759686096</v>
      </c>
      <c r="D152" s="96">
        <f t="shared" si="28"/>
        <v>116500.91938423702</v>
      </c>
      <c r="E152" s="26"/>
      <c r="F152" s="99"/>
      <c r="G152" s="95"/>
      <c r="H152" s="95"/>
      <c r="I152" s="95"/>
      <c r="J152" s="133"/>
      <c r="K152" s="95"/>
    </row>
    <row r="153" spans="1:11" ht="12.75" hidden="1">
      <c r="A153" s="21" t="s">
        <v>10</v>
      </c>
      <c r="B153" s="95">
        <f t="shared" si="27"/>
        <v>4069.682328463667</v>
      </c>
      <c r="C153" s="96">
        <f t="shared" si="29"/>
        <v>1378.54168270933</v>
      </c>
      <c r="D153" s="96">
        <f t="shared" si="28"/>
        <v>117879.46106694634</v>
      </c>
      <c r="E153" s="26"/>
      <c r="F153" s="99"/>
      <c r="G153" s="95"/>
      <c r="H153" s="95"/>
      <c r="I153" s="95"/>
      <c r="J153" s="133"/>
      <c r="K153" s="95"/>
    </row>
    <row r="154" spans="1:11" ht="12.75" hidden="1">
      <c r="A154" s="21" t="s">
        <v>11</v>
      </c>
      <c r="B154" s="95">
        <f t="shared" si="27"/>
        <v>4061.928031498427</v>
      </c>
      <c r="C154" s="96">
        <f t="shared" si="29"/>
        <v>1386.29597967457</v>
      </c>
      <c r="D154" s="96">
        <f t="shared" si="28"/>
        <v>119265.75704662091</v>
      </c>
      <c r="E154" s="26"/>
      <c r="F154" s="99"/>
      <c r="G154" s="95"/>
      <c r="H154" s="95"/>
      <c r="I154" s="95"/>
      <c r="J154" s="133"/>
      <c r="K154" s="95"/>
    </row>
    <row r="155" spans="1:11" ht="12.75" hidden="1">
      <c r="A155" s="21" t="s">
        <v>12</v>
      </c>
      <c r="B155" s="95">
        <f t="shared" si="27"/>
        <v>4054.130116612758</v>
      </c>
      <c r="C155" s="96">
        <f t="shared" si="29"/>
        <v>1394.0938945602393</v>
      </c>
      <c r="D155" s="96">
        <f t="shared" si="28"/>
        <v>120659.85094118115</v>
      </c>
      <c r="E155" s="26"/>
      <c r="F155" s="99"/>
      <c r="G155" s="95"/>
      <c r="H155" s="95"/>
      <c r="I155" s="95"/>
      <c r="J155" s="133"/>
      <c r="K155" s="95"/>
    </row>
    <row r="156" spans="1:11" ht="12.75" hidden="1">
      <c r="A156" s="21" t="s">
        <v>13</v>
      </c>
      <c r="B156" s="95">
        <f t="shared" si="27"/>
        <v>4046.2883384558563</v>
      </c>
      <c r="C156" s="96">
        <f t="shared" si="29"/>
        <v>1401.9356727171407</v>
      </c>
      <c r="D156" s="96">
        <f t="shared" si="28"/>
        <v>122061.7866138983</v>
      </c>
      <c r="E156" s="26"/>
      <c r="F156" s="99"/>
      <c r="G156" s="95"/>
      <c r="H156" s="95"/>
      <c r="I156" s="95"/>
      <c r="J156" s="133"/>
      <c r="K156" s="95"/>
    </row>
    <row r="157" spans="1:11" ht="12.75" hidden="1">
      <c r="A157" s="21" t="s">
        <v>14</v>
      </c>
      <c r="B157" s="95">
        <f t="shared" si="27"/>
        <v>4038.4024502968223</v>
      </c>
      <c r="C157" s="96">
        <f t="shared" si="29"/>
        <v>1409.8215608761748</v>
      </c>
      <c r="D157" s="96">
        <f t="shared" si="28"/>
        <v>123471.60817477448</v>
      </c>
      <c r="E157" s="26"/>
      <c r="F157" s="99"/>
      <c r="G157" s="95"/>
      <c r="H157" s="95"/>
      <c r="I157" s="95"/>
      <c r="J157" s="133"/>
      <c r="K157" s="95"/>
    </row>
    <row r="158" spans="1:14" ht="12.75">
      <c r="A158" s="21" t="s">
        <v>29</v>
      </c>
      <c r="B158" s="95">
        <f>B144+SUM(B146:B157)</f>
        <v>537035.2731659852</v>
      </c>
      <c r="C158" s="96">
        <f>D157</f>
        <v>123471.60817477448</v>
      </c>
      <c r="D158" s="96"/>
      <c r="E158" s="95">
        <f>MAX(0,MAX(0,((B158-B144)-MAX($M$144,$M$47*$M$89))*Fed_marginal_rate)+MAX(0,((B158-B144)-$M$158)*State_marginal_rate)-$P$47)</f>
        <v>13692.054199533934</v>
      </c>
      <c r="F158" s="99">
        <f>$B$13-E158/12+($F$4*(1-$F$11)*$B$3+$F$5+$F$6)/12</f>
        <v>5562.769494545169</v>
      </c>
      <c r="G158" s="95">
        <f>(F158-$F$14*(1+$F$15)^9)</f>
        <v>996.0633511428141</v>
      </c>
      <c r="H158" s="95">
        <f>((FV($F$10/12,12,-G158)-12*G158)+I144*$F$10)*(1-$F$11)</f>
        <v>11562.850940989718</v>
      </c>
      <c r="I158" s="95">
        <f>12*G158+H158+I144</f>
        <v>237907.0347469196</v>
      </c>
      <c r="J158" s="133">
        <f>F158-(C158-C144)/12</f>
        <v>4195.52172232599</v>
      </c>
      <c r="K158" s="95"/>
      <c r="L158" s="6" t="s">
        <v>98</v>
      </c>
      <c r="M158" s="60">
        <f>IF(M130,1,2)*3254</f>
        <v>6508</v>
      </c>
      <c r="N158" s="11"/>
    </row>
    <row r="159" spans="1:13" ht="12.75">
      <c r="A159" s="130" t="s">
        <v>50</v>
      </c>
      <c r="B159" s="93"/>
      <c r="C159" s="93"/>
      <c r="D159" s="26"/>
      <c r="E159" s="95"/>
      <c r="F159" s="99"/>
      <c r="G159" s="95"/>
      <c r="H159" s="95"/>
      <c r="I159" s="95"/>
      <c r="J159" s="133"/>
      <c r="K159" s="95"/>
      <c r="L159" s="6"/>
      <c r="M159" s="60"/>
    </row>
    <row r="160" spans="1:11" ht="12.75" hidden="1">
      <c r="A160" s="21" t="s">
        <v>3</v>
      </c>
      <c r="B160" s="95">
        <f>$B$5/12*($B$9-D157)</f>
        <v>4030.472204016894</v>
      </c>
      <c r="C160" s="96">
        <f>MIN($B$13-B160,MAX(0,$B$9-C158))</f>
        <v>1417.751807156103</v>
      </c>
      <c r="D160" s="96">
        <f>D157+C160</f>
        <v>124889.35998193058</v>
      </c>
      <c r="E160" s="26"/>
      <c r="F160" s="99"/>
      <c r="G160" s="95"/>
      <c r="H160" s="95"/>
      <c r="I160" s="95"/>
      <c r="J160" s="133"/>
      <c r="K160" s="95"/>
    </row>
    <row r="161" spans="1:11" ht="12.75" hidden="1">
      <c r="A161" s="21" t="s">
        <v>4</v>
      </c>
      <c r="B161" s="95">
        <f aca="true" t="shared" si="30" ref="B161:B171">$B$5/12*($B$9-D160)</f>
        <v>4022.497350101641</v>
      </c>
      <c r="C161" s="96">
        <f>MIN($B$13-B161,MAX(0,$B$9-D160))</f>
        <v>1425.726661071356</v>
      </c>
      <c r="D161" s="96">
        <f aca="true" t="shared" si="31" ref="D161:D171">D160+C161</f>
        <v>126315.08664300194</v>
      </c>
      <c r="E161" s="26"/>
      <c r="F161" s="99"/>
      <c r="G161" s="95"/>
      <c r="H161" s="95"/>
      <c r="I161" s="95"/>
      <c r="J161" s="133"/>
      <c r="K161" s="95"/>
    </row>
    <row r="162" spans="1:11" ht="12.75" hidden="1">
      <c r="A162" s="21" t="s">
        <v>5</v>
      </c>
      <c r="B162" s="95">
        <f t="shared" si="30"/>
        <v>4014.477637633114</v>
      </c>
      <c r="C162" s="96">
        <f aca="true" t="shared" si="32" ref="C162:C171">MIN($B$13-B162,MAX(0,$B$9-D161))</f>
        <v>1433.7463735398828</v>
      </c>
      <c r="D162" s="96">
        <f t="shared" si="31"/>
        <v>127748.83301654182</v>
      </c>
      <c r="E162" s="26"/>
      <c r="F162" s="99"/>
      <c r="G162" s="95"/>
      <c r="H162" s="95"/>
      <c r="I162" s="95"/>
      <c r="J162" s="133"/>
      <c r="K162" s="95"/>
    </row>
    <row r="163" spans="1:11" ht="12.75" hidden="1">
      <c r="A163" s="21" t="s">
        <v>6</v>
      </c>
      <c r="B163" s="95">
        <f t="shared" si="30"/>
        <v>4006.4128142819527</v>
      </c>
      <c r="C163" s="96">
        <f t="shared" si="32"/>
        <v>1441.8111968910443</v>
      </c>
      <c r="D163" s="96">
        <f t="shared" si="31"/>
        <v>129190.64421343285</v>
      </c>
      <c r="E163" s="26"/>
      <c r="F163" s="99"/>
      <c r="G163" s="95"/>
      <c r="H163" s="95"/>
      <c r="I163" s="95"/>
      <c r="J163" s="133"/>
      <c r="K163" s="95"/>
    </row>
    <row r="164" spans="1:11" ht="12.75" hidden="1">
      <c r="A164" s="21" t="s">
        <v>7</v>
      </c>
      <c r="B164" s="95">
        <f t="shared" si="30"/>
        <v>3998.3026262994404</v>
      </c>
      <c r="C164" s="96">
        <f t="shared" si="32"/>
        <v>1449.9213848735567</v>
      </c>
      <c r="D164" s="96">
        <f t="shared" si="31"/>
        <v>130640.5655983064</v>
      </c>
      <c r="E164" s="26"/>
      <c r="F164" s="99"/>
      <c r="G164" s="95"/>
      <c r="H164" s="95"/>
      <c r="I164" s="95"/>
      <c r="J164" s="133"/>
      <c r="K164" s="95"/>
    </row>
    <row r="165" spans="1:11" ht="12.75" hidden="1">
      <c r="A165" s="21" t="s">
        <v>8</v>
      </c>
      <c r="B165" s="95">
        <f t="shared" si="30"/>
        <v>3990.1468185095273</v>
      </c>
      <c r="C165" s="96">
        <f t="shared" si="32"/>
        <v>1458.0771926634698</v>
      </c>
      <c r="D165" s="96">
        <f t="shared" si="31"/>
        <v>132098.64279096987</v>
      </c>
      <c r="E165" s="26"/>
      <c r="F165" s="99"/>
      <c r="G165" s="95"/>
      <c r="H165" s="95"/>
      <c r="I165" s="95"/>
      <c r="J165" s="133"/>
      <c r="K165" s="95"/>
    </row>
    <row r="166" spans="1:11" ht="12.75" hidden="1">
      <c r="A166" s="21" t="s">
        <v>9</v>
      </c>
      <c r="B166" s="95">
        <f t="shared" si="30"/>
        <v>3981.9451343007945</v>
      </c>
      <c r="C166" s="96">
        <f t="shared" si="32"/>
        <v>1466.2788768722025</v>
      </c>
      <c r="D166" s="96">
        <f t="shared" si="31"/>
        <v>133564.92166784208</v>
      </c>
      <c r="E166" s="26"/>
      <c r="F166" s="99"/>
      <c r="G166" s="95"/>
      <c r="H166" s="95"/>
      <c r="I166" s="95"/>
      <c r="J166" s="133"/>
      <c r="K166" s="95"/>
    </row>
    <row r="167" spans="1:11" ht="12.75" hidden="1">
      <c r="A167" s="21" t="s">
        <v>10</v>
      </c>
      <c r="B167" s="95">
        <f t="shared" si="30"/>
        <v>3973.697315618389</v>
      </c>
      <c r="C167" s="96">
        <f t="shared" si="32"/>
        <v>1474.526695554608</v>
      </c>
      <c r="D167" s="96">
        <f t="shared" si="31"/>
        <v>135039.4483633967</v>
      </c>
      <c r="E167" s="26"/>
      <c r="F167" s="99"/>
      <c r="G167" s="95"/>
      <c r="H167" s="95"/>
      <c r="I167" s="95"/>
      <c r="J167" s="133"/>
      <c r="K167" s="95"/>
    </row>
    <row r="168" spans="1:11" ht="12.75" hidden="1">
      <c r="A168" s="21" t="s">
        <v>11</v>
      </c>
      <c r="B168" s="95">
        <f t="shared" si="30"/>
        <v>3965.403102955894</v>
      </c>
      <c r="C168" s="96">
        <f t="shared" si="32"/>
        <v>1482.820908217103</v>
      </c>
      <c r="D168" s="96">
        <f t="shared" si="31"/>
        <v>136522.2692716138</v>
      </c>
      <c r="E168" s="26"/>
      <c r="F168" s="99"/>
      <c r="G168" s="95"/>
      <c r="H168" s="95"/>
      <c r="I168" s="95"/>
      <c r="J168" s="133"/>
      <c r="K168" s="95"/>
    </row>
    <row r="169" spans="1:11" ht="12.75" hidden="1">
      <c r="A169" s="21" t="s">
        <v>12</v>
      </c>
      <c r="B169" s="95">
        <f t="shared" si="30"/>
        <v>3957.0622353471726</v>
      </c>
      <c r="C169" s="96">
        <f t="shared" si="32"/>
        <v>1491.1617758258244</v>
      </c>
      <c r="D169" s="96">
        <f t="shared" si="31"/>
        <v>138013.43104743963</v>
      </c>
      <c r="E169" s="26"/>
      <c r="F169" s="99"/>
      <c r="G169" s="95"/>
      <c r="H169" s="95"/>
      <c r="I169" s="95"/>
      <c r="J169" s="133"/>
      <c r="K169" s="95"/>
    </row>
    <row r="170" spans="1:11" ht="12.75" hidden="1">
      <c r="A170" s="21" t="s">
        <v>13</v>
      </c>
      <c r="B170" s="95">
        <f t="shared" si="30"/>
        <v>3948.6744503581526</v>
      </c>
      <c r="C170" s="96">
        <f t="shared" si="32"/>
        <v>1499.5495608148444</v>
      </c>
      <c r="D170" s="96">
        <f t="shared" si="31"/>
        <v>139512.98060825447</v>
      </c>
      <c r="E170" s="26"/>
      <c r="F170" s="99"/>
      <c r="G170" s="95"/>
      <c r="H170" s="95"/>
      <c r="I170" s="95"/>
      <c r="J170" s="133"/>
      <c r="K170" s="95"/>
    </row>
    <row r="171" spans="1:11" ht="12.75" hidden="1">
      <c r="A171" s="21" t="s">
        <v>14</v>
      </c>
      <c r="B171" s="95">
        <f t="shared" si="30"/>
        <v>3940.239484078569</v>
      </c>
      <c r="C171" s="96">
        <f t="shared" si="32"/>
        <v>1507.984527094428</v>
      </c>
      <c r="D171" s="96">
        <f t="shared" si="31"/>
        <v>141020.9651353489</v>
      </c>
      <c r="E171" s="26"/>
      <c r="F171" s="99"/>
      <c r="G171" s="95"/>
      <c r="H171" s="95"/>
      <c r="I171" s="95"/>
      <c r="J171" s="133"/>
      <c r="K171" s="95"/>
    </row>
    <row r="172" spans="1:13" ht="12.75">
      <c r="A172" s="21" t="s">
        <v>29</v>
      </c>
      <c r="B172" s="95">
        <f>B158+SUM(B160:B171)</f>
        <v>584864.6043394868</v>
      </c>
      <c r="C172" s="96">
        <f>D171</f>
        <v>141020.9651353489</v>
      </c>
      <c r="D172" s="96"/>
      <c r="E172" s="95">
        <f>MAX(0,MAX(0,((B172-B158)-MAX($M$144,$M$47*$M$89))*Fed_marginal_rate)+MAX(0,((B172-B158)-$M$158)*State_marginal_rate)-$P$47)</f>
        <v>13300.216592511035</v>
      </c>
      <c r="F172" s="99">
        <f>$B$13-E172/12+($F$4*(1-$F$11)*$B$3+$F$5+$F$6)/12</f>
        <v>5595.422628463744</v>
      </c>
      <c r="G172" s="95">
        <f>(F172-$F$14*(1+$F$15)^10)</f>
        <v>891.7153007593179</v>
      </c>
      <c r="H172" s="95">
        <f>((FV($F$10/12,12,-G172)-12*G172)+I158*$F$10)*(1-$F$11)</f>
        <v>12767.986033930203</v>
      </c>
      <c r="I172" s="95">
        <f>12*G172+H172+I158</f>
        <v>261375.60438996163</v>
      </c>
      <c r="J172" s="133">
        <f>F172-(C172-C158)/12</f>
        <v>4132.976215082542</v>
      </c>
      <c r="K172" s="95"/>
      <c r="L172" s="68"/>
      <c r="M172" s="69"/>
    </row>
    <row r="173" spans="1:13" ht="12.75">
      <c r="A173" s="130" t="s">
        <v>51</v>
      </c>
      <c r="B173" s="93"/>
      <c r="C173" s="93"/>
      <c r="D173" s="26"/>
      <c r="E173" s="26"/>
      <c r="F173" s="99"/>
      <c r="G173" s="95"/>
      <c r="H173" s="95"/>
      <c r="I173" s="95"/>
      <c r="J173" s="133"/>
      <c r="K173" s="95"/>
      <c r="L173" s="6"/>
      <c r="M173" s="147"/>
    </row>
    <row r="174" spans="1:11" ht="12.75" hidden="1">
      <c r="A174" s="21" t="s">
        <v>3</v>
      </c>
      <c r="B174" s="95">
        <f>$B$5/12*($B$9-D171)</f>
        <v>3931.7570711136627</v>
      </c>
      <c r="C174" s="96">
        <f>MIN($B$13-B174,MAX(0,$B$9-C172))</f>
        <v>1516.4669400593343</v>
      </c>
      <c r="D174" s="96">
        <f>D171+C174</f>
        <v>142537.43207540823</v>
      </c>
      <c r="E174" s="26"/>
      <c r="F174" s="99"/>
      <c r="G174" s="95"/>
      <c r="H174" s="95"/>
      <c r="I174" s="95"/>
      <c r="J174" s="133"/>
      <c r="K174" s="95"/>
    </row>
    <row r="175" spans="1:11" ht="12.75" hidden="1">
      <c r="A175" s="21" t="s">
        <v>4</v>
      </c>
      <c r="B175" s="95">
        <f aca="true" t="shared" si="33" ref="B175:B185">$B$5/12*($B$9-D174)</f>
        <v>3923.226944575829</v>
      </c>
      <c r="C175" s="96">
        <f>MIN($B$13-B175,MAX(0,$B$9-D174))</f>
        <v>1524.9970665971682</v>
      </c>
      <c r="D175" s="96">
        <f aca="true" t="shared" si="34" ref="D175:D185">D174+C175</f>
        <v>144062.4291420054</v>
      </c>
      <c r="E175" s="26"/>
      <c r="F175" s="99"/>
      <c r="G175" s="95"/>
      <c r="H175" s="95"/>
      <c r="I175" s="95"/>
      <c r="J175" s="133"/>
      <c r="K175" s="95"/>
    </row>
    <row r="176" spans="1:11" ht="12.75" hidden="1">
      <c r="A176" s="21" t="s">
        <v>5</v>
      </c>
      <c r="B176" s="95">
        <f t="shared" si="33"/>
        <v>3914.64883607622</v>
      </c>
      <c r="C176" s="96">
        <f aca="true" t="shared" si="35" ref="C176:C185">MIN($B$13-B176,MAX(0,$B$9-D175))</f>
        <v>1533.575175096777</v>
      </c>
      <c r="D176" s="96">
        <f t="shared" si="34"/>
        <v>145596.00431710217</v>
      </c>
      <c r="E176" s="26"/>
      <c r="F176" s="99"/>
      <c r="G176" s="95"/>
      <c r="H176" s="95"/>
      <c r="I176" s="95"/>
      <c r="J176" s="133"/>
      <c r="K176" s="95"/>
    </row>
    <row r="177" spans="1:11" ht="12.75" hidden="1">
      <c r="A177" s="21" t="s">
        <v>6</v>
      </c>
      <c r="B177" s="95">
        <f t="shared" si="33"/>
        <v>3906.022475716301</v>
      </c>
      <c r="C177" s="96">
        <f t="shared" si="35"/>
        <v>1542.201535456696</v>
      </c>
      <c r="D177" s="96">
        <f t="shared" si="34"/>
        <v>147138.20585255887</v>
      </c>
      <c r="E177" s="26"/>
      <c r="F177" s="99"/>
      <c r="G177" s="95"/>
      <c r="H177" s="95"/>
      <c r="I177" s="95"/>
      <c r="J177" s="133"/>
      <c r="K177" s="95"/>
    </row>
    <row r="178" spans="1:11" ht="12.75" hidden="1">
      <c r="A178" s="21" t="s">
        <v>7</v>
      </c>
      <c r="B178" s="95">
        <f t="shared" si="33"/>
        <v>3897.347592079357</v>
      </c>
      <c r="C178" s="96">
        <f t="shared" si="35"/>
        <v>1550.87641909364</v>
      </c>
      <c r="D178" s="96">
        <f t="shared" si="34"/>
        <v>148689.0822716525</v>
      </c>
      <c r="E178" s="26"/>
      <c r="F178" s="99"/>
      <c r="G178" s="95"/>
      <c r="H178" s="95"/>
      <c r="I178" s="95"/>
      <c r="J178" s="133"/>
      <c r="K178" s="95"/>
    </row>
    <row r="179" spans="1:11" ht="12.75" hidden="1">
      <c r="A179" s="21" t="s">
        <v>8</v>
      </c>
      <c r="B179" s="95">
        <f t="shared" si="33"/>
        <v>3888.623912221955</v>
      </c>
      <c r="C179" s="96">
        <f t="shared" si="35"/>
        <v>1559.6000989510421</v>
      </c>
      <c r="D179" s="96">
        <f t="shared" si="34"/>
        <v>150248.68237060355</v>
      </c>
      <c r="E179" s="26"/>
      <c r="F179" s="99"/>
      <c r="G179" s="95"/>
      <c r="H179" s="95"/>
      <c r="I179" s="95"/>
      <c r="J179" s="133"/>
      <c r="K179" s="95"/>
    </row>
    <row r="180" spans="1:11" ht="12.75" hidden="1">
      <c r="A180" s="21" t="s">
        <v>9</v>
      </c>
      <c r="B180" s="95">
        <f t="shared" si="33"/>
        <v>3879.8511616653554</v>
      </c>
      <c r="C180" s="96">
        <f t="shared" si="35"/>
        <v>1568.3728495076416</v>
      </c>
      <c r="D180" s="96">
        <f t="shared" si="34"/>
        <v>151817.0552201112</v>
      </c>
      <c r="E180" s="26"/>
      <c r="F180" s="99"/>
      <c r="G180" s="95"/>
      <c r="H180" s="95"/>
      <c r="I180" s="95"/>
      <c r="J180" s="133"/>
      <c r="K180" s="95"/>
    </row>
    <row r="181" spans="1:11" ht="12.75" hidden="1">
      <c r="A181" s="21" t="s">
        <v>10</v>
      </c>
      <c r="B181" s="95">
        <f t="shared" si="33"/>
        <v>3871.0290643868752</v>
      </c>
      <c r="C181" s="96">
        <f t="shared" si="35"/>
        <v>1577.1949467861218</v>
      </c>
      <c r="D181" s="96">
        <f t="shared" si="34"/>
        <v>153394.2501668973</v>
      </c>
      <c r="E181" s="26"/>
      <c r="F181" s="99"/>
      <c r="G181" s="95"/>
      <c r="H181" s="95"/>
      <c r="I181" s="95"/>
      <c r="J181" s="133"/>
      <c r="K181" s="95"/>
    </row>
    <row r="182" spans="1:11" ht="12.75" hidden="1">
      <c r="A182" s="21" t="s">
        <v>11</v>
      </c>
      <c r="B182" s="95">
        <f t="shared" si="33"/>
        <v>3862.157342811203</v>
      </c>
      <c r="C182" s="96">
        <f t="shared" si="35"/>
        <v>1586.0666683617942</v>
      </c>
      <c r="D182" s="96">
        <f t="shared" si="34"/>
        <v>154980.31683525912</v>
      </c>
      <c r="E182" s="26"/>
      <c r="F182" s="99"/>
      <c r="G182" s="95"/>
      <c r="H182" s="95"/>
      <c r="I182" s="95"/>
      <c r="J182" s="133"/>
      <c r="K182" s="95"/>
    </row>
    <row r="183" spans="1:11" ht="12.75" hidden="1">
      <c r="A183" s="21" t="s">
        <v>12</v>
      </c>
      <c r="B183" s="95">
        <f t="shared" si="33"/>
        <v>3853.235717801668</v>
      </c>
      <c r="C183" s="96">
        <f t="shared" si="35"/>
        <v>1594.9882933713288</v>
      </c>
      <c r="D183" s="96">
        <f t="shared" si="34"/>
        <v>156575.30512863045</v>
      </c>
      <c r="E183" s="26"/>
      <c r="F183" s="99"/>
      <c r="G183" s="95"/>
      <c r="H183" s="95"/>
      <c r="I183" s="95"/>
      <c r="J183" s="133"/>
      <c r="K183" s="95"/>
    </row>
    <row r="184" spans="1:11" ht="12.75" hidden="1">
      <c r="A184" s="21" t="s">
        <v>13</v>
      </c>
      <c r="B184" s="95">
        <f t="shared" si="33"/>
        <v>3844.263908651454</v>
      </c>
      <c r="C184" s="96">
        <f t="shared" si="35"/>
        <v>1603.960102521543</v>
      </c>
      <c r="D184" s="96">
        <f t="shared" si="34"/>
        <v>158179.265231152</v>
      </c>
      <c r="E184" s="26"/>
      <c r="F184" s="99"/>
      <c r="G184" s="95"/>
      <c r="H184" s="95"/>
      <c r="I184" s="95"/>
      <c r="J184" s="133"/>
      <c r="K184" s="95"/>
    </row>
    <row r="185" spans="1:11" ht="12.75" hidden="1">
      <c r="A185" s="21" t="s">
        <v>14</v>
      </c>
      <c r="B185" s="95">
        <f t="shared" si="33"/>
        <v>3835.24163307477</v>
      </c>
      <c r="C185" s="96">
        <f t="shared" si="35"/>
        <v>1612.982378098227</v>
      </c>
      <c r="D185" s="96">
        <f t="shared" si="34"/>
        <v>159792.24760925025</v>
      </c>
      <c r="E185" s="26"/>
      <c r="F185" s="99"/>
      <c r="G185" s="95"/>
      <c r="H185" s="95"/>
      <c r="I185" s="95"/>
      <c r="J185" s="133"/>
      <c r="K185" s="95"/>
    </row>
    <row r="186" spans="1:11" ht="12.75">
      <c r="A186" s="21" t="s">
        <v>29</v>
      </c>
      <c r="B186" s="95">
        <f>B172+SUM(B174:B185)</f>
        <v>631472.0099996615</v>
      </c>
      <c r="C186" s="96">
        <f>D185</f>
        <v>159792.24760925025</v>
      </c>
      <c r="D186" s="96"/>
      <c r="E186" s="95">
        <f>MAX(0,MAX(0,((B186-B172)-MAX($M$144,$M$47*$M$89))*Fed_marginal_rate)+MAX(0,((B186-B172)-$M$158)*State_marginal_rate)-$P$47)</f>
        <v>12881.096141439912</v>
      </c>
      <c r="F186" s="99">
        <f>$B$13-E186/12+($F$4*(1-$F$11)*$B$3+$F$5+$F$6)/12</f>
        <v>5630.349332719671</v>
      </c>
      <c r="G186" s="95">
        <f>(F186-$F$14*(1+$F$15)^11)</f>
        <v>785.5307851841117</v>
      </c>
      <c r="H186" s="95">
        <f>((FV($F$10/12,12,-G186)-12*G186)+I172*$F$10)*(1-$F$11)</f>
        <v>13970.105763343608</v>
      </c>
      <c r="I186" s="95">
        <f>12*G186+H186+I172</f>
        <v>284772.0795755146</v>
      </c>
      <c r="J186" s="133">
        <f>F186-(C186-C172)/12</f>
        <v>4066.075793227892</v>
      </c>
      <c r="K186" s="95"/>
    </row>
    <row r="187" spans="1:11" ht="12.75">
      <c r="A187" s="130" t="s">
        <v>52</v>
      </c>
      <c r="B187" s="93"/>
      <c r="C187" s="93"/>
      <c r="D187" s="26"/>
      <c r="E187" s="26"/>
      <c r="F187" s="99"/>
      <c r="G187" s="95"/>
      <c r="H187" s="95"/>
      <c r="I187" s="95"/>
      <c r="J187" s="133"/>
      <c r="K187" s="95"/>
    </row>
    <row r="188" spans="1:11" ht="12.75" hidden="1">
      <c r="A188" s="21" t="s">
        <v>3</v>
      </c>
      <c r="B188" s="95">
        <f>$B$5/12*($B$9-D185)</f>
        <v>3826.168607197968</v>
      </c>
      <c r="C188" s="96">
        <f>MIN($B$13-B188,MAX(0,$B$9-C186))</f>
        <v>1622.055403975029</v>
      </c>
      <c r="D188" s="96">
        <f>D185+C188</f>
        <v>161414.3030132253</v>
      </c>
      <c r="E188" s="26"/>
      <c r="F188" s="99"/>
      <c r="G188" s="95"/>
      <c r="H188" s="95"/>
      <c r="I188" s="95"/>
      <c r="J188" s="133"/>
      <c r="K188" s="95"/>
    </row>
    <row r="189" spans="1:11" ht="12.75" hidden="1">
      <c r="A189" s="21" t="s">
        <v>4</v>
      </c>
      <c r="B189" s="95">
        <f aca="true" t="shared" si="36" ref="B189:B199">$B$5/12*($B$9-D188)</f>
        <v>3817.044545550608</v>
      </c>
      <c r="C189" s="96">
        <f>MIN($B$13-B189,MAX(0,$B$9-D188))</f>
        <v>1631.1794656223892</v>
      </c>
      <c r="D189" s="96">
        <f aca="true" t="shared" si="37" ref="D189:D199">D188+C189</f>
        <v>163045.48247884767</v>
      </c>
      <c r="E189" s="26"/>
      <c r="F189" s="99"/>
      <c r="G189" s="95"/>
      <c r="H189" s="95"/>
      <c r="I189" s="95"/>
      <c r="J189" s="133"/>
      <c r="K189" s="95"/>
    </row>
    <row r="190" spans="1:11" ht="12.75" hidden="1">
      <c r="A190" s="21" t="s">
        <v>5</v>
      </c>
      <c r="B190" s="95">
        <f t="shared" si="36"/>
        <v>3807.869161056482</v>
      </c>
      <c r="C190" s="96">
        <f aca="true" t="shared" si="38" ref="C190:C199">MIN($B$13-B190,MAX(0,$B$9-D189))</f>
        <v>1640.354850116515</v>
      </c>
      <c r="D190" s="96">
        <f t="shared" si="37"/>
        <v>164685.83732896417</v>
      </c>
      <c r="E190" s="26"/>
      <c r="F190" s="99"/>
      <c r="G190" s="95"/>
      <c r="H190" s="95"/>
      <c r="I190" s="95"/>
      <c r="J190" s="133"/>
      <c r="K190" s="95"/>
    </row>
    <row r="191" spans="1:11" ht="12.75" hidden="1">
      <c r="A191" s="21" t="s">
        <v>6</v>
      </c>
      <c r="B191" s="95">
        <f t="shared" si="36"/>
        <v>3798.642165024577</v>
      </c>
      <c r="C191" s="96">
        <f t="shared" si="38"/>
        <v>1649.58184614842</v>
      </c>
      <c r="D191" s="96">
        <f t="shared" si="37"/>
        <v>166335.4191751126</v>
      </c>
      <c r="E191" s="26"/>
      <c r="F191" s="99"/>
      <c r="G191" s="95"/>
      <c r="H191" s="95"/>
      <c r="I191" s="95"/>
      <c r="J191" s="133"/>
      <c r="K191" s="95"/>
    </row>
    <row r="192" spans="1:11" ht="12.75" hidden="1">
      <c r="A192" s="21" t="s">
        <v>7</v>
      </c>
      <c r="B192" s="95">
        <f t="shared" si="36"/>
        <v>3789.363267139992</v>
      </c>
      <c r="C192" s="96">
        <f t="shared" si="38"/>
        <v>1658.8607440330052</v>
      </c>
      <c r="D192" s="96">
        <f t="shared" si="37"/>
        <v>167994.2799191456</v>
      </c>
      <c r="E192" s="26"/>
      <c r="F192" s="99"/>
      <c r="G192" s="95"/>
      <c r="H192" s="95"/>
      <c r="I192" s="95"/>
      <c r="J192" s="133"/>
      <c r="K192" s="95"/>
    </row>
    <row r="193" spans="1:11" ht="12.75" hidden="1">
      <c r="A193" s="21" t="s">
        <v>8</v>
      </c>
      <c r="B193" s="95">
        <f t="shared" si="36"/>
        <v>3780.0321754548063</v>
      </c>
      <c r="C193" s="96">
        <f t="shared" si="38"/>
        <v>1668.1918357181908</v>
      </c>
      <c r="D193" s="96">
        <f t="shared" si="37"/>
        <v>169662.4717548638</v>
      </c>
      <c r="E193" s="26"/>
      <c r="F193" s="99"/>
      <c r="G193" s="95"/>
      <c r="H193" s="95"/>
      <c r="I193" s="95"/>
      <c r="J193" s="133"/>
      <c r="K193" s="95"/>
    </row>
    <row r="194" spans="1:11" ht="12.75" hidden="1">
      <c r="A194" s="21" t="s">
        <v>9</v>
      </c>
      <c r="B194" s="95">
        <f t="shared" si="36"/>
        <v>3770.6485963788914</v>
      </c>
      <c r="C194" s="96">
        <f t="shared" si="38"/>
        <v>1677.5754147941057</v>
      </c>
      <c r="D194" s="96">
        <f t="shared" si="37"/>
        <v>171340.04716965792</v>
      </c>
      <c r="E194" s="26"/>
      <c r="F194" s="99"/>
      <c r="G194" s="95"/>
      <c r="H194" s="95"/>
      <c r="I194" s="95"/>
      <c r="J194" s="133"/>
      <c r="K194" s="95"/>
    </row>
    <row r="195" spans="1:11" ht="12.75" hidden="1">
      <c r="A195" s="21" t="s">
        <v>10</v>
      </c>
      <c r="B195" s="95">
        <f t="shared" si="36"/>
        <v>3761.2122346706747</v>
      </c>
      <c r="C195" s="96">
        <f t="shared" si="38"/>
        <v>1687.0117765023224</v>
      </c>
      <c r="D195" s="96">
        <f t="shared" si="37"/>
        <v>173027.05894616025</v>
      </c>
      <c r="E195" s="26"/>
      <c r="F195" s="99"/>
      <c r="G195" s="95"/>
      <c r="H195" s="95"/>
      <c r="I195" s="95"/>
      <c r="J195" s="133"/>
      <c r="K195" s="95"/>
    </row>
    <row r="196" spans="1:11" ht="12.75" hidden="1">
      <c r="A196" s="21" t="s">
        <v>11</v>
      </c>
      <c r="B196" s="95">
        <f t="shared" si="36"/>
        <v>3751.722793427849</v>
      </c>
      <c r="C196" s="96">
        <f t="shared" si="38"/>
        <v>1696.501217745148</v>
      </c>
      <c r="D196" s="96">
        <f t="shared" si="37"/>
        <v>174723.5601639054</v>
      </c>
      <c r="E196" s="26"/>
      <c r="F196" s="99"/>
      <c r="G196" s="95"/>
      <c r="H196" s="95"/>
      <c r="I196" s="95"/>
      <c r="J196" s="133"/>
      <c r="K196" s="95"/>
    </row>
    <row r="197" spans="1:11" ht="12.75" hidden="1">
      <c r="A197" s="21" t="s">
        <v>12</v>
      </c>
      <c r="B197" s="95">
        <f t="shared" si="36"/>
        <v>3742.1799740780325</v>
      </c>
      <c r="C197" s="96">
        <f t="shared" si="38"/>
        <v>1706.0440370949646</v>
      </c>
      <c r="D197" s="96">
        <f t="shared" si="37"/>
        <v>176429.60420100036</v>
      </c>
      <c r="E197" s="26"/>
      <c r="F197" s="99"/>
      <c r="G197" s="95"/>
      <c r="H197" s="95"/>
      <c r="I197" s="95"/>
      <c r="J197" s="133"/>
      <c r="K197" s="95"/>
    </row>
    <row r="198" spans="1:11" ht="12.75" hidden="1">
      <c r="A198" s="21" t="s">
        <v>13</v>
      </c>
      <c r="B198" s="95">
        <f t="shared" si="36"/>
        <v>3732.583476369373</v>
      </c>
      <c r="C198" s="96">
        <f t="shared" si="38"/>
        <v>1715.6405348036242</v>
      </c>
      <c r="D198" s="96">
        <f t="shared" si="37"/>
        <v>178145.24473580398</v>
      </c>
      <c r="E198" s="26"/>
      <c r="F198" s="99"/>
      <c r="G198" s="95"/>
      <c r="H198" s="95"/>
      <c r="I198" s="95"/>
      <c r="J198" s="133"/>
      <c r="K198" s="95"/>
    </row>
    <row r="199" spans="1:11" ht="12.75" hidden="1">
      <c r="A199" s="21" t="s">
        <v>14</v>
      </c>
      <c r="B199" s="95">
        <f t="shared" si="36"/>
        <v>3722.9329983611033</v>
      </c>
      <c r="C199" s="96">
        <f t="shared" si="38"/>
        <v>1725.2910128118938</v>
      </c>
      <c r="D199" s="96">
        <f t="shared" si="37"/>
        <v>179870.53574861586</v>
      </c>
      <c r="E199" s="26"/>
      <c r="F199" s="99"/>
      <c r="G199" s="95"/>
      <c r="H199" s="95"/>
      <c r="I199" s="95"/>
      <c r="J199" s="133"/>
      <c r="K199" s="95"/>
    </row>
    <row r="200" spans="1:11" ht="12.75">
      <c r="A200" s="21" t="s">
        <v>29</v>
      </c>
      <c r="B200" s="95">
        <f>B186+SUM(B188:B199)</f>
        <v>676772.4099943718</v>
      </c>
      <c r="C200" s="96">
        <f>D199</f>
        <v>179870.53574861586</v>
      </c>
      <c r="D200" s="96"/>
      <c r="E200" s="95">
        <f>MAX(0,MAX(0,((B200-B186)-MAX($M$144,$M$47*$M$89))*Fed_marginal_rate)+MAX(0,((B200-B186)-$M$158)*State_marginal_rate)-$P$47)</f>
        <v>12432.793198185647</v>
      </c>
      <c r="F200" s="99">
        <f>$B$13-E200/12+($F$4*(1-$F$11)*$B$3+$F$5+$F$6)/12</f>
        <v>5667.707911324193</v>
      </c>
      <c r="G200" s="95">
        <f>(F200-$F$14*(1+$F$15)^12)</f>
        <v>677.5448073625685</v>
      </c>
      <c r="H200" s="95">
        <f>((FV($F$10/12,12,-G200)-12*G200)+I186*$F$10)*(1-$F$11)</f>
        <v>15167.903693316743</v>
      </c>
      <c r="I200" s="95">
        <f>12*G200+H200+I186</f>
        <v>308070.52095718216</v>
      </c>
      <c r="J200" s="133">
        <f>F200-(C200-C186)/12</f>
        <v>3994.5172330437254</v>
      </c>
      <c r="K200" s="95"/>
    </row>
    <row r="201" spans="1:11" ht="12.75">
      <c r="A201" s="130" t="s">
        <v>53</v>
      </c>
      <c r="B201" s="93"/>
      <c r="C201" s="93"/>
      <c r="D201" s="26"/>
      <c r="E201" s="26"/>
      <c r="F201" s="99"/>
      <c r="G201" s="95"/>
      <c r="H201" s="95"/>
      <c r="I201" s="95"/>
      <c r="J201" s="133"/>
      <c r="K201" s="95"/>
    </row>
    <row r="202" spans="1:11" ht="12.75" hidden="1">
      <c r="A202" s="21" t="s">
        <v>3</v>
      </c>
      <c r="B202" s="95">
        <f>$B$5/12*($B$9-D199)</f>
        <v>3713.228236414036</v>
      </c>
      <c r="C202" s="96">
        <f>MIN($B$13-B202,MAX(0,$B$9-C200))</f>
        <v>1734.995774758961</v>
      </c>
      <c r="D202" s="96">
        <f>D199+C202</f>
        <v>181605.5315233748</v>
      </c>
      <c r="E202" s="26"/>
      <c r="F202" s="99"/>
      <c r="G202" s="95"/>
      <c r="H202" s="95"/>
      <c r="I202" s="95"/>
      <c r="J202" s="133"/>
      <c r="K202" s="95"/>
    </row>
    <row r="203" spans="1:11" ht="12.75" hidden="1">
      <c r="A203" s="21" t="s">
        <v>4</v>
      </c>
      <c r="B203" s="95">
        <f aca="true" t="shared" si="39" ref="B203:B213">$B$5/12*($B$9-D202)</f>
        <v>3703.468885181017</v>
      </c>
      <c r="C203" s="96">
        <f>MIN($B$13-B203,MAX(0,$B$9-D202))</f>
        <v>1744.75512599198</v>
      </c>
      <c r="D203" s="96">
        <f aca="true" t="shared" si="40" ref="D203:D213">D202+C203</f>
        <v>183350.28664936678</v>
      </c>
      <c r="E203" s="26"/>
      <c r="F203" s="99"/>
      <c r="G203" s="95"/>
      <c r="H203" s="95"/>
      <c r="I203" s="95"/>
      <c r="J203" s="133"/>
      <c r="K203" s="95"/>
    </row>
    <row r="204" spans="1:11" ht="12.75" hidden="1">
      <c r="A204" s="21" t="s">
        <v>5</v>
      </c>
      <c r="B204" s="95">
        <f t="shared" si="39"/>
        <v>3693.654637597312</v>
      </c>
      <c r="C204" s="96">
        <f aca="true" t="shared" si="41" ref="C204:C213">MIN($B$13-B204,MAX(0,$B$9-D203))</f>
        <v>1754.569373575685</v>
      </c>
      <c r="D204" s="96">
        <f t="shared" si="40"/>
        <v>185104.85602294246</v>
      </c>
      <c r="E204" s="26"/>
      <c r="F204" s="99"/>
      <c r="G204" s="95"/>
      <c r="H204" s="95"/>
      <c r="I204" s="95"/>
      <c r="J204" s="133"/>
      <c r="K204" s="95"/>
    </row>
    <row r="205" spans="1:11" ht="12.75" hidden="1">
      <c r="A205" s="21" t="s">
        <v>6</v>
      </c>
      <c r="B205" s="95">
        <f t="shared" si="39"/>
        <v>3683.7851848709493</v>
      </c>
      <c r="C205" s="96">
        <f t="shared" si="41"/>
        <v>1764.4388263020478</v>
      </c>
      <c r="D205" s="96">
        <f t="shared" si="40"/>
        <v>186869.2948492445</v>
      </c>
      <c r="E205" s="26"/>
      <c r="F205" s="99"/>
      <c r="G205" s="95"/>
      <c r="H205" s="95"/>
      <c r="I205" s="95"/>
      <c r="J205" s="133"/>
      <c r="K205" s="95"/>
    </row>
    <row r="206" spans="1:11" ht="12.75" hidden="1">
      <c r="A206" s="21" t="s">
        <v>7</v>
      </c>
      <c r="B206" s="95">
        <f t="shared" si="39"/>
        <v>3673.860216473</v>
      </c>
      <c r="C206" s="96">
        <f t="shared" si="41"/>
        <v>1774.363794699997</v>
      </c>
      <c r="D206" s="96">
        <f t="shared" si="40"/>
        <v>188643.6586439445</v>
      </c>
      <c r="E206" s="26"/>
      <c r="F206" s="99"/>
      <c r="G206" s="95"/>
      <c r="H206" s="95"/>
      <c r="I206" s="95"/>
      <c r="J206" s="133"/>
      <c r="K206" s="95"/>
    </row>
    <row r="207" spans="1:11" ht="12.75" hidden="1">
      <c r="A207" s="21" t="s">
        <v>8</v>
      </c>
      <c r="B207" s="95">
        <f t="shared" si="39"/>
        <v>3663.8794201278124</v>
      </c>
      <c r="C207" s="96">
        <f t="shared" si="41"/>
        <v>1784.3445910451846</v>
      </c>
      <c r="D207" s="96">
        <f t="shared" si="40"/>
        <v>190428.0032349897</v>
      </c>
      <c r="E207" s="26"/>
      <c r="F207" s="99"/>
      <c r="G207" s="95"/>
      <c r="H207" s="95"/>
      <c r="I207" s="95"/>
      <c r="J207" s="133"/>
      <c r="K207" s="95"/>
    </row>
    <row r="208" spans="1:11" ht="12.75" hidden="1">
      <c r="A208" s="21" t="s">
        <v>9</v>
      </c>
      <c r="B208" s="95">
        <f t="shared" si="39"/>
        <v>3653.8424818031835</v>
      </c>
      <c r="C208" s="96">
        <f t="shared" si="41"/>
        <v>1794.3815293698135</v>
      </c>
      <c r="D208" s="96">
        <f t="shared" si="40"/>
        <v>192222.3847643595</v>
      </c>
      <c r="E208" s="26"/>
      <c r="F208" s="99"/>
      <c r="G208" s="95"/>
      <c r="H208" s="95"/>
      <c r="I208" s="95"/>
      <c r="J208" s="133"/>
      <c r="K208" s="95"/>
    </row>
    <row r="209" spans="1:11" ht="12.75" hidden="1">
      <c r="A209" s="21" t="s">
        <v>10</v>
      </c>
      <c r="B209" s="95">
        <f t="shared" si="39"/>
        <v>3643.7490857004777</v>
      </c>
      <c r="C209" s="96">
        <f t="shared" si="41"/>
        <v>1804.4749254725193</v>
      </c>
      <c r="D209" s="96">
        <f t="shared" si="40"/>
        <v>194026.85968983202</v>
      </c>
      <c r="E209" s="26"/>
      <c r="F209" s="99"/>
      <c r="G209" s="95"/>
      <c r="H209" s="95"/>
      <c r="I209" s="95"/>
      <c r="J209" s="133"/>
      <c r="K209" s="95"/>
    </row>
    <row r="210" spans="1:11" ht="12.75" hidden="1">
      <c r="A210" s="21" t="s">
        <v>11</v>
      </c>
      <c r="B210" s="95">
        <f t="shared" si="39"/>
        <v>3633.5989142446956</v>
      </c>
      <c r="C210" s="96">
        <f t="shared" si="41"/>
        <v>1814.6250969283014</v>
      </c>
      <c r="D210" s="96">
        <f t="shared" si="40"/>
        <v>195841.48478676032</v>
      </c>
      <c r="E210" s="26"/>
      <c r="F210" s="99"/>
      <c r="G210" s="95"/>
      <c r="H210" s="95"/>
      <c r="I210" s="95"/>
      <c r="J210" s="133"/>
      <c r="K210" s="95"/>
    </row>
    <row r="211" spans="1:11" ht="12.75" hidden="1">
      <c r="A211" s="21" t="s">
        <v>12</v>
      </c>
      <c r="B211" s="95">
        <f t="shared" si="39"/>
        <v>3623.391648074474</v>
      </c>
      <c r="C211" s="96">
        <f t="shared" si="41"/>
        <v>1824.8323630985233</v>
      </c>
      <c r="D211" s="96">
        <f t="shared" si="40"/>
        <v>197666.31714985883</v>
      </c>
      <c r="E211" s="26"/>
      <c r="F211" s="99"/>
      <c r="G211" s="95"/>
      <c r="H211" s="95"/>
      <c r="I211" s="95"/>
      <c r="J211" s="133"/>
      <c r="K211" s="95"/>
    </row>
    <row r="212" spans="1:11" ht="12.75" hidden="1">
      <c r="A212" s="21" t="s">
        <v>13</v>
      </c>
      <c r="B212" s="95">
        <f t="shared" si="39"/>
        <v>3613.1269660320445</v>
      </c>
      <c r="C212" s="96">
        <f t="shared" si="41"/>
        <v>1835.0970451409526</v>
      </c>
      <c r="D212" s="96">
        <f t="shared" si="40"/>
        <v>199501.4141949998</v>
      </c>
      <c r="E212" s="26"/>
      <c r="F212" s="99"/>
      <c r="G212" s="95"/>
      <c r="H212" s="95"/>
      <c r="I212" s="95"/>
      <c r="J212" s="133"/>
      <c r="K212" s="95"/>
    </row>
    <row r="213" spans="1:11" ht="12.75" hidden="1">
      <c r="A213" s="21" t="s">
        <v>14</v>
      </c>
      <c r="B213" s="95">
        <f t="shared" si="39"/>
        <v>3602.804545153127</v>
      </c>
      <c r="C213" s="96">
        <f t="shared" si="41"/>
        <v>1845.41946601987</v>
      </c>
      <c r="D213" s="96">
        <f t="shared" si="40"/>
        <v>201346.83366101966</v>
      </c>
      <c r="E213" s="26"/>
      <c r="F213" s="99"/>
      <c r="G213" s="95"/>
      <c r="H213" s="95"/>
      <c r="I213" s="95"/>
      <c r="J213" s="133"/>
      <c r="K213" s="95"/>
    </row>
    <row r="214" spans="1:11" ht="12.75">
      <c r="A214" s="21" t="s">
        <v>29</v>
      </c>
      <c r="B214" s="95">
        <f>B200+SUM(B202:B213)</f>
        <v>720674.800216044</v>
      </c>
      <c r="C214" s="96">
        <f>D213</f>
        <v>201346.83366101966</v>
      </c>
      <c r="D214" s="96"/>
      <c r="E214" s="95">
        <f>MAX(0,MAX(0,((B214-B200)-MAX($M$144,$M$47*$M$89))*Fed_marginal_rate)+MAX(0,((B214-B200)-$M$158)*State_marginal_rate)-$P$47)</f>
        <v>11953.27584603354</v>
      </c>
      <c r="F214" s="99">
        <f>$B$13-E214/12+($F$4*(1-$F$11)*$B$3+$F$5+$F$6)/12</f>
        <v>5707.667690670202</v>
      </c>
      <c r="G214" s="95">
        <f>(F214-$F$14*(1+$F$15)^13)</f>
        <v>567.799693589729</v>
      </c>
      <c r="H214" s="95">
        <f>((FV($F$10/12,12,-G214)-12*G214)+I200*$F$10)*(1-$F$11)</f>
        <v>16360.028963514918</v>
      </c>
      <c r="I214" s="95">
        <f>12*G214+H214+I200</f>
        <v>331244.1462437738</v>
      </c>
      <c r="J214" s="133">
        <f>F214-(C214-C200)/12</f>
        <v>3917.976197969886</v>
      </c>
      <c r="K214" s="95"/>
    </row>
    <row r="215" spans="1:11" ht="12.75">
      <c r="A215" s="130" t="s">
        <v>54</v>
      </c>
      <c r="B215" s="93"/>
      <c r="C215" s="93"/>
      <c r="D215" s="26"/>
      <c r="E215" s="26"/>
      <c r="F215" s="99"/>
      <c r="G215" s="95"/>
      <c r="H215" s="95"/>
      <c r="I215" s="95"/>
      <c r="J215" s="133"/>
      <c r="K215" s="95"/>
    </row>
    <row r="216" spans="1:11" ht="12.75" hidden="1">
      <c r="A216" s="21" t="s">
        <v>3</v>
      </c>
      <c r="B216" s="95">
        <f>$B$5/12*($B$9-D213)</f>
        <v>3592.4240606567646</v>
      </c>
      <c r="C216" s="96">
        <f>MIN($B$13-B216,MAX(0,$B$9-C214))</f>
        <v>1855.7999505162325</v>
      </c>
      <c r="D216" s="96">
        <f>D213+C216</f>
        <v>203202.6336115359</v>
      </c>
      <c r="E216" s="26"/>
      <c r="F216" s="99"/>
      <c r="G216" s="95"/>
      <c r="H216" s="95"/>
      <c r="I216" s="95"/>
      <c r="J216" s="133"/>
      <c r="K216" s="95"/>
    </row>
    <row r="217" spans="1:11" ht="12.75" hidden="1">
      <c r="A217" s="21" t="s">
        <v>4</v>
      </c>
      <c r="B217" s="95">
        <f aca="true" t="shared" si="42" ref="B217:B227">$B$5/12*($B$9-D216)</f>
        <v>3581.985185935111</v>
      </c>
      <c r="C217" s="96">
        <f>MIN($B$13-B217,MAX(0,$B$9-D216))</f>
        <v>1866.238825237886</v>
      </c>
      <c r="D217" s="96">
        <f aca="true" t="shared" si="43" ref="D217:D227">D216+C217</f>
        <v>205068.87243677376</v>
      </c>
      <c r="E217" s="26"/>
      <c r="F217" s="99"/>
      <c r="G217" s="95"/>
      <c r="H217" s="95"/>
      <c r="I217" s="95"/>
      <c r="J217" s="133"/>
      <c r="K217" s="95"/>
    </row>
    <row r="218" spans="1:11" ht="12.75" hidden="1">
      <c r="A218" s="21" t="s">
        <v>5</v>
      </c>
      <c r="B218" s="95">
        <f t="shared" si="42"/>
        <v>3571.4875925431484</v>
      </c>
      <c r="C218" s="96">
        <f aca="true" t="shared" si="44" ref="C218:C227">MIN($B$13-B218,MAX(0,$B$9-D217))</f>
        <v>1876.7364186298487</v>
      </c>
      <c r="D218" s="96">
        <f t="shared" si="43"/>
        <v>206945.6088554036</v>
      </c>
      <c r="E218" s="26"/>
      <c r="F218" s="99"/>
      <c r="G218" s="95"/>
      <c r="H218" s="95"/>
      <c r="I218" s="95"/>
      <c r="J218" s="133"/>
      <c r="K218" s="95"/>
    </row>
    <row r="219" spans="1:11" ht="12.75" hidden="1">
      <c r="A219" s="21" t="s">
        <v>6</v>
      </c>
      <c r="B219" s="95">
        <f t="shared" si="42"/>
        <v>3560.930950188355</v>
      </c>
      <c r="C219" s="96">
        <f t="shared" si="44"/>
        <v>1887.2930609846421</v>
      </c>
      <c r="D219" s="96">
        <f t="shared" si="43"/>
        <v>208832.90191638825</v>
      </c>
      <c r="E219" s="26"/>
      <c r="F219" s="99"/>
      <c r="G219" s="95"/>
      <c r="H219" s="95"/>
      <c r="I219" s="95"/>
      <c r="J219" s="133"/>
      <c r="K219" s="95"/>
    </row>
    <row r="220" spans="1:11" ht="12.75" hidden="1">
      <c r="A220" s="21" t="s">
        <v>7</v>
      </c>
      <c r="B220" s="95">
        <f t="shared" si="42"/>
        <v>3550.3149267203166</v>
      </c>
      <c r="C220" s="96">
        <f t="shared" si="44"/>
        <v>1897.9090844526804</v>
      </c>
      <c r="D220" s="96">
        <f t="shared" si="43"/>
        <v>210730.81100084094</v>
      </c>
      <c r="E220" s="26"/>
      <c r="F220" s="99"/>
      <c r="G220" s="95"/>
      <c r="H220" s="95"/>
      <c r="I220" s="95"/>
      <c r="J220" s="133"/>
      <c r="K220" s="95"/>
    </row>
    <row r="221" spans="1:11" ht="12.75" hidden="1">
      <c r="A221" s="21" t="s">
        <v>8</v>
      </c>
      <c r="B221" s="95">
        <f t="shared" si="42"/>
        <v>3539.63918812027</v>
      </c>
      <c r="C221" s="96">
        <f t="shared" si="44"/>
        <v>1908.5848230527272</v>
      </c>
      <c r="D221" s="96">
        <f t="shared" si="43"/>
        <v>212639.39582389366</v>
      </c>
      <c r="E221" s="26"/>
      <c r="F221" s="99"/>
      <c r="G221" s="95"/>
      <c r="H221" s="95"/>
      <c r="I221" s="95"/>
      <c r="J221" s="133"/>
      <c r="K221" s="95"/>
    </row>
    <row r="222" spans="1:11" ht="12.75" hidden="1">
      <c r="A222" s="21" t="s">
        <v>9</v>
      </c>
      <c r="B222" s="95">
        <f t="shared" si="42"/>
        <v>3528.903398490599</v>
      </c>
      <c r="C222" s="96">
        <f t="shared" si="44"/>
        <v>1919.320612682398</v>
      </c>
      <c r="D222" s="96">
        <f t="shared" si="43"/>
        <v>214558.71643657607</v>
      </c>
      <c r="E222" s="26"/>
      <c r="F222" s="99"/>
      <c r="G222" s="95"/>
      <c r="H222" s="95"/>
      <c r="I222" s="95"/>
      <c r="J222" s="133"/>
      <c r="K222" s="95"/>
    </row>
    <row r="223" spans="1:11" ht="12.75" hidden="1">
      <c r="A223" s="21" t="s">
        <v>10</v>
      </c>
      <c r="B223" s="95">
        <f t="shared" si="42"/>
        <v>3518.10722004426</v>
      </c>
      <c r="C223" s="96">
        <f t="shared" si="44"/>
        <v>1930.116791128737</v>
      </c>
      <c r="D223" s="96">
        <f t="shared" si="43"/>
        <v>216488.8332277048</v>
      </c>
      <c r="E223" s="26"/>
      <c r="F223" s="99"/>
      <c r="G223" s="95"/>
      <c r="H223" s="95"/>
      <c r="I223" s="95"/>
      <c r="J223" s="133"/>
      <c r="K223" s="95"/>
    </row>
    <row r="224" spans="1:11" ht="12.75" hidden="1">
      <c r="A224" s="21" t="s">
        <v>11</v>
      </c>
      <c r="B224" s="95">
        <f t="shared" si="42"/>
        <v>3507.2503130941614</v>
      </c>
      <c r="C224" s="96">
        <f t="shared" si="44"/>
        <v>1940.9736980788357</v>
      </c>
      <c r="D224" s="96">
        <f t="shared" si="43"/>
        <v>218429.80692578363</v>
      </c>
      <c r="E224" s="26"/>
      <c r="F224" s="99"/>
      <c r="G224" s="95"/>
      <c r="H224" s="95"/>
      <c r="I224" s="95"/>
      <c r="J224" s="133"/>
      <c r="K224" s="95"/>
    </row>
    <row r="225" spans="1:11" ht="12.75" hidden="1">
      <c r="A225" s="21" t="s">
        <v>12</v>
      </c>
      <c r="B225" s="95">
        <f t="shared" si="42"/>
        <v>3496.3323360424674</v>
      </c>
      <c r="C225" s="96">
        <f t="shared" si="44"/>
        <v>1951.8916751305296</v>
      </c>
      <c r="D225" s="96">
        <f t="shared" si="43"/>
        <v>220381.69860091415</v>
      </c>
      <c r="E225" s="26"/>
      <c r="F225" s="99"/>
      <c r="G225" s="95"/>
      <c r="H225" s="95"/>
      <c r="I225" s="95"/>
      <c r="J225" s="133"/>
      <c r="K225" s="95"/>
    </row>
    <row r="226" spans="1:11" ht="12.75" hidden="1">
      <c r="A226" s="21" t="s">
        <v>13</v>
      </c>
      <c r="B226" s="95">
        <f t="shared" si="42"/>
        <v>3485.3529453698584</v>
      </c>
      <c r="C226" s="96">
        <f t="shared" si="44"/>
        <v>1962.8710658031387</v>
      </c>
      <c r="D226" s="96">
        <f t="shared" si="43"/>
        <v>222344.5696667173</v>
      </c>
      <c r="E226" s="26"/>
      <c r="F226" s="99"/>
      <c r="G226" s="95"/>
      <c r="H226" s="95"/>
      <c r="I226" s="95"/>
      <c r="J226" s="133"/>
      <c r="K226" s="95"/>
    </row>
    <row r="227" spans="1:11" ht="12.75" hidden="1">
      <c r="A227" s="21" t="s">
        <v>14</v>
      </c>
      <c r="B227" s="95">
        <f t="shared" si="42"/>
        <v>3474.3117956247156</v>
      </c>
      <c r="C227" s="96">
        <f t="shared" si="44"/>
        <v>1973.9122155482814</v>
      </c>
      <c r="D227" s="96">
        <f t="shared" si="43"/>
        <v>224318.48188226557</v>
      </c>
      <c r="E227" s="26"/>
      <c r="F227" s="99"/>
      <c r="G227" s="95"/>
      <c r="H227" s="95"/>
      <c r="I227" s="95"/>
      <c r="J227" s="133"/>
      <c r="K227" s="95"/>
    </row>
    <row r="228" spans="1:11" ht="12.75">
      <c r="A228" s="21" t="s">
        <v>29</v>
      </c>
      <c r="B228" s="95">
        <f>B214+SUM(B216:B227)</f>
        <v>763081.8401288739</v>
      </c>
      <c r="C228" s="96">
        <f>D227</f>
        <v>224318.48188226557</v>
      </c>
      <c r="D228" s="96"/>
      <c r="E228" s="95">
        <f>MAX(0,MAX(0,((B228-B214)-MAX($M$144,$M$47*$M$89))*Fed_marginal_rate)+MAX(0,((B228-B214)-$M$158)*State_marginal_rate)-$P$47)</f>
        <v>11440.370690100686</v>
      </c>
      <c r="F228" s="99">
        <f>$B$13-E228/12+($F$4*(1-$F$11)*$B$3+$F$5+$F$6)/12</f>
        <v>5750.4097869979405</v>
      </c>
      <c r="G228" s="95">
        <f>(F228-$F$14*(1+$F$15)^14)</f>
        <v>456.34575000505174</v>
      </c>
      <c r="H228" s="95">
        <f>((FV($F$10/12,12,-G228)-12*G228)+I214*$F$10)*(1-$F$11)</f>
        <v>17545.0887672782</v>
      </c>
      <c r="I228" s="95">
        <f>12*G228+H228+I214</f>
        <v>354265.3840111126</v>
      </c>
      <c r="J228" s="133">
        <f>F228-(C228-C214)/12</f>
        <v>3836.105768560781</v>
      </c>
      <c r="K228" s="95"/>
    </row>
    <row r="229" spans="1:11" ht="12.75">
      <c r="A229" s="130" t="s">
        <v>22</v>
      </c>
      <c r="B229" s="93"/>
      <c r="C229" s="93"/>
      <c r="D229" s="26"/>
      <c r="E229" s="26"/>
      <c r="F229" s="99"/>
      <c r="G229" s="95"/>
      <c r="H229" s="95"/>
      <c r="I229" s="95"/>
      <c r="J229" s="133"/>
      <c r="K229" s="95"/>
    </row>
    <row r="230" spans="1:11" ht="12.75" hidden="1">
      <c r="A230" s="21" t="s">
        <v>3</v>
      </c>
      <c r="B230" s="95">
        <f>$B$5/12*($B$9-D227)</f>
        <v>3463.208539412257</v>
      </c>
      <c r="C230" s="96">
        <f>MIN($B$13-B230,MAX(0,$B$9-C228))</f>
        <v>1985.0154717607402</v>
      </c>
      <c r="D230" s="96">
        <f>D227+C230</f>
        <v>226303.4973540263</v>
      </c>
      <c r="E230" s="26"/>
      <c r="F230" s="99"/>
      <c r="G230" s="95"/>
      <c r="H230" s="95"/>
      <c r="I230" s="95"/>
      <c r="J230" s="133"/>
      <c r="K230" s="95"/>
    </row>
    <row r="231" spans="1:11" ht="12.75" hidden="1">
      <c r="A231" s="21" t="s">
        <v>4</v>
      </c>
      <c r="B231" s="95">
        <f aca="true" t="shared" si="45" ref="B231:B241">$B$5/12*($B$9-D230)</f>
        <v>3452.0428273836023</v>
      </c>
      <c r="C231" s="96">
        <f>MIN($B$13-B231,MAX(0,$B$9-D230))</f>
        <v>1996.1811837893947</v>
      </c>
      <c r="D231" s="96">
        <f aca="true" t="shared" si="46" ref="D231:D241">D230+C231</f>
        <v>228299.6785378157</v>
      </c>
      <c r="E231" s="26"/>
      <c r="F231" s="99"/>
      <c r="G231" s="95"/>
      <c r="H231" s="95"/>
      <c r="I231" s="95"/>
      <c r="J231" s="133"/>
      <c r="K231" s="95"/>
    </row>
    <row r="232" spans="1:11" ht="12.75" hidden="1">
      <c r="A232" s="21" t="s">
        <v>5</v>
      </c>
      <c r="B232" s="95">
        <f t="shared" si="45"/>
        <v>3440.814308224787</v>
      </c>
      <c r="C232" s="96">
        <f aca="true" t="shared" si="47" ref="C232:C241">MIN($B$13-B232,MAX(0,$B$9-D231))</f>
        <v>2007.40970294821</v>
      </c>
      <c r="D232" s="96">
        <f t="shared" si="46"/>
        <v>230307.0882407639</v>
      </c>
      <c r="E232" s="26"/>
      <c r="F232" s="99"/>
      <c r="G232" s="95"/>
      <c r="H232" s="95"/>
      <c r="I232" s="95"/>
      <c r="J232" s="133"/>
      <c r="K232" s="95"/>
    </row>
    <row r="233" spans="1:11" ht="12.75" hidden="1">
      <c r="A233" s="21" t="s">
        <v>6</v>
      </c>
      <c r="B233" s="95">
        <f t="shared" si="45"/>
        <v>3429.5226286457037</v>
      </c>
      <c r="C233" s="96">
        <f t="shared" si="47"/>
        <v>2018.7013825272934</v>
      </c>
      <c r="D233" s="96">
        <f t="shared" si="46"/>
        <v>232325.7896232912</v>
      </c>
      <c r="E233" s="26"/>
      <c r="F233" s="99"/>
      <c r="G233" s="95"/>
      <c r="H233" s="95"/>
      <c r="I233" s="95"/>
      <c r="J233" s="133"/>
      <c r="K233" s="95"/>
    </row>
    <row r="234" spans="1:11" ht="12.75" hidden="1">
      <c r="A234" s="21" t="s">
        <v>7</v>
      </c>
      <c r="B234" s="95">
        <f t="shared" si="45"/>
        <v>3418.167433368987</v>
      </c>
      <c r="C234" s="96">
        <f t="shared" si="47"/>
        <v>2030.05657780401</v>
      </c>
      <c r="D234" s="96">
        <f t="shared" si="46"/>
        <v>234355.8462010952</v>
      </c>
      <c r="E234" s="26"/>
      <c r="F234" s="99"/>
      <c r="G234" s="95"/>
      <c r="H234" s="95"/>
      <c r="I234" s="95"/>
      <c r="J234" s="133"/>
      <c r="K234" s="95"/>
    </row>
    <row r="235" spans="1:11" ht="12.75" hidden="1">
      <c r="A235" s="21" t="s">
        <v>8</v>
      </c>
      <c r="B235" s="95">
        <f t="shared" si="45"/>
        <v>3406.7483651188395</v>
      </c>
      <c r="C235" s="96">
        <f t="shared" si="47"/>
        <v>2041.4756460541576</v>
      </c>
      <c r="D235" s="96">
        <f t="shared" si="46"/>
        <v>236397.32184714937</v>
      </c>
      <c r="E235" s="26"/>
      <c r="F235" s="99"/>
      <c r="G235" s="95"/>
      <c r="H235" s="95"/>
      <c r="I235" s="95"/>
      <c r="J235" s="133"/>
      <c r="K235" s="95"/>
    </row>
    <row r="236" spans="1:11" ht="12.75" hidden="1">
      <c r="A236" s="21" t="s">
        <v>9</v>
      </c>
      <c r="B236" s="95">
        <f t="shared" si="45"/>
        <v>3395.265064609785</v>
      </c>
      <c r="C236" s="96">
        <f t="shared" si="47"/>
        <v>2052.958946563212</v>
      </c>
      <c r="D236" s="96">
        <f t="shared" si="46"/>
        <v>238450.2807937126</v>
      </c>
      <c r="E236" s="26"/>
      <c r="F236" s="99"/>
      <c r="G236" s="95"/>
      <c r="H236" s="95"/>
      <c r="I236" s="95"/>
      <c r="J236" s="133"/>
      <c r="K236" s="95"/>
    </row>
    <row r="237" spans="1:11" ht="12.75" hidden="1">
      <c r="A237" s="21" t="s">
        <v>10</v>
      </c>
      <c r="B237" s="95">
        <f t="shared" si="45"/>
        <v>3383.717170535367</v>
      </c>
      <c r="C237" s="96">
        <f t="shared" si="47"/>
        <v>2064.50684063763</v>
      </c>
      <c r="D237" s="96">
        <f t="shared" si="46"/>
        <v>240514.7876343502</v>
      </c>
      <c r="E237" s="26"/>
      <c r="F237" s="99"/>
      <c r="G237" s="95"/>
      <c r="H237" s="95"/>
      <c r="I237" s="95"/>
      <c r="J237" s="133"/>
      <c r="K237" s="95"/>
    </row>
    <row r="238" spans="1:11" ht="12.75" hidden="1">
      <c r="A238" s="21" t="s">
        <v>11</v>
      </c>
      <c r="B238" s="95">
        <f t="shared" si="45"/>
        <v>3372.1043195567804</v>
      </c>
      <c r="C238" s="96">
        <f t="shared" si="47"/>
        <v>2076.1196916162166</v>
      </c>
      <c r="D238" s="96">
        <f t="shared" si="46"/>
        <v>242590.90732596643</v>
      </c>
      <c r="E238" s="26"/>
      <c r="F238" s="99"/>
      <c r="G238" s="95"/>
      <c r="H238" s="95"/>
      <c r="I238" s="95"/>
      <c r="J238" s="133"/>
      <c r="K238" s="95"/>
    </row>
    <row r="239" spans="1:11" ht="12.75" hidden="1">
      <c r="A239" s="21" t="s">
        <v>12</v>
      </c>
      <c r="B239" s="95">
        <f t="shared" si="45"/>
        <v>3360.426146291439</v>
      </c>
      <c r="C239" s="96">
        <f t="shared" si="47"/>
        <v>2087.797864881558</v>
      </c>
      <c r="D239" s="96">
        <f t="shared" si="46"/>
        <v>244678.70519084798</v>
      </c>
      <c r="E239" s="26"/>
      <c r="F239" s="99"/>
      <c r="G239" s="95"/>
      <c r="H239" s="95"/>
      <c r="I239" s="95"/>
      <c r="J239" s="133"/>
      <c r="K239" s="95"/>
    </row>
    <row r="240" spans="1:11" ht="12.75" hidden="1">
      <c r="A240" s="21" t="s">
        <v>13</v>
      </c>
      <c r="B240" s="95">
        <f t="shared" si="45"/>
        <v>3348.6822833014803</v>
      </c>
      <c r="C240" s="96">
        <f t="shared" si="47"/>
        <v>2099.5417278715167</v>
      </c>
      <c r="D240" s="96">
        <f t="shared" si="46"/>
        <v>246778.2469187195</v>
      </c>
      <c r="E240" s="26"/>
      <c r="F240" s="99"/>
      <c r="G240" s="95"/>
      <c r="H240" s="95"/>
      <c r="I240" s="95"/>
      <c r="J240" s="133"/>
      <c r="K240" s="95"/>
    </row>
    <row r="241" spans="1:11" ht="12.75" hidden="1">
      <c r="A241" s="21" t="s">
        <v>14</v>
      </c>
      <c r="B241" s="95">
        <f t="shared" si="45"/>
        <v>3336.872361082203</v>
      </c>
      <c r="C241" s="96">
        <f t="shared" si="47"/>
        <v>2111.351650090794</v>
      </c>
      <c r="D241" s="96">
        <f t="shared" si="46"/>
        <v>248889.5985688103</v>
      </c>
      <c r="E241" s="26"/>
      <c r="F241" s="99"/>
      <c r="G241" s="95"/>
      <c r="H241" s="95"/>
      <c r="I241" s="95"/>
      <c r="J241" s="133"/>
      <c r="K241" s="95"/>
    </row>
    <row r="242" spans="1:11" ht="12.75">
      <c r="A242" s="21" t="s">
        <v>29</v>
      </c>
      <c r="B242" s="95">
        <f>B228+SUM(B230:B241)</f>
        <v>803889.4115764052</v>
      </c>
      <c r="C242" s="96">
        <f>D241</f>
        <v>248889.5985688103</v>
      </c>
      <c r="D242" s="96"/>
      <c r="E242" s="95">
        <f>MAX(0,MAX(0,((B242-B228)-MAX($M$144,$M$47*$M$89))*Fed_marginal_rate)+MAX(0,((B242-B228)-$M$158)*State_marginal_rate)-$P$47)</f>
        <v>10891.753006503212</v>
      </c>
      <c r="F242" s="99">
        <f>$B$13-E242/12+($F$4*(1-$F$11)*$B$3+$F$5+$F$6)/12</f>
        <v>5796.12792729773</v>
      </c>
      <c r="G242" s="95">
        <f>(F242-$F$14*(1+$F$15)^15)</f>
        <v>343.2419691950545</v>
      </c>
      <c r="H242" s="95">
        <f>((FV($F$10/12,12,-G242)-12*G242)+I228*$F$10)*(1-$F$11)</f>
        <v>18721.651388842773</v>
      </c>
      <c r="I242" s="95">
        <f>12*G242+H242+I228</f>
        <v>377105.93903029605</v>
      </c>
      <c r="J242" s="133">
        <f>F242-(C242-C228)/12</f>
        <v>3748.5348700856694</v>
      </c>
      <c r="K242" s="95"/>
    </row>
    <row r="243" spans="1:11" ht="12.75">
      <c r="A243" s="130" t="s">
        <v>55</v>
      </c>
      <c r="B243" s="93"/>
      <c r="C243" s="93"/>
      <c r="D243" s="26"/>
      <c r="E243" s="26"/>
      <c r="F243" s="99"/>
      <c r="G243" s="95"/>
      <c r="H243" s="95"/>
      <c r="I243" s="95"/>
      <c r="J243" s="133"/>
      <c r="K243" s="95"/>
    </row>
    <row r="244" spans="1:11" ht="12.75" hidden="1">
      <c r="A244" s="21" t="s">
        <v>3</v>
      </c>
      <c r="B244" s="95">
        <f>$B$5/12*($B$9-D241)</f>
        <v>3324.9960080504425</v>
      </c>
      <c r="C244" s="96">
        <f>MIN($B$13-B244,MAX(0,$B$9-C242))</f>
        <v>2123.2280031225546</v>
      </c>
      <c r="D244" s="96">
        <f>D241+C244</f>
        <v>251012.82657193285</v>
      </c>
      <c r="E244" s="26"/>
      <c r="F244" s="99"/>
      <c r="G244" s="95"/>
      <c r="H244" s="95"/>
      <c r="I244" s="95"/>
      <c r="J244" s="133"/>
      <c r="K244" s="95"/>
    </row>
    <row r="245" spans="1:11" ht="12.75" hidden="1">
      <c r="A245" s="21" t="s">
        <v>4</v>
      </c>
      <c r="B245" s="95">
        <f aca="true" t="shared" si="48" ref="B245:B255">$B$5/12*($B$9-D244)</f>
        <v>3313.052850532878</v>
      </c>
      <c r="C245" s="96">
        <f>MIN($B$13-B245,MAX(0,$B$9-D244))</f>
        <v>2135.171160640119</v>
      </c>
      <c r="D245" s="96">
        <f aca="true" t="shared" si="49" ref="D245:D255">D244+C245</f>
        <v>253147.99773257296</v>
      </c>
      <c r="E245" s="26"/>
      <c r="F245" s="99"/>
      <c r="G245" s="95"/>
      <c r="H245" s="95"/>
      <c r="I245" s="95"/>
      <c r="J245" s="133"/>
      <c r="K245" s="95"/>
    </row>
    <row r="246" spans="1:11" ht="12.75" hidden="1">
      <c r="A246" s="21" t="s">
        <v>5</v>
      </c>
      <c r="B246" s="95">
        <f t="shared" si="48"/>
        <v>3301.0425127542776</v>
      </c>
      <c r="C246" s="96">
        <f aca="true" t="shared" si="50" ref="C246:C255">MIN($B$13-B246,MAX(0,$B$9-D245))</f>
        <v>2147.1814984187195</v>
      </c>
      <c r="D246" s="96">
        <f t="shared" si="49"/>
        <v>255295.17923099166</v>
      </c>
      <c r="E246" s="26"/>
      <c r="F246" s="99"/>
      <c r="G246" s="95"/>
      <c r="H246" s="95"/>
      <c r="I246" s="95"/>
      <c r="J246" s="133"/>
      <c r="K246" s="95"/>
    </row>
    <row r="247" spans="1:11" ht="12.75" hidden="1">
      <c r="A247" s="21" t="s">
        <v>6</v>
      </c>
      <c r="B247" s="95">
        <f t="shared" si="48"/>
        <v>3288.9646168256722</v>
      </c>
      <c r="C247" s="96">
        <f t="shared" si="50"/>
        <v>2159.259394347325</v>
      </c>
      <c r="D247" s="96">
        <f t="shared" si="49"/>
        <v>257454.43862533898</v>
      </c>
      <c r="E247" s="26"/>
      <c r="F247" s="99"/>
      <c r="G247" s="95"/>
      <c r="H247" s="95"/>
      <c r="I247" s="95"/>
      <c r="J247" s="133"/>
      <c r="K247" s="95"/>
    </row>
    <row r="248" spans="1:11" ht="12.75" hidden="1">
      <c r="A248" s="21" t="s">
        <v>7</v>
      </c>
      <c r="B248" s="95">
        <f t="shared" si="48"/>
        <v>3276.8187827324687</v>
      </c>
      <c r="C248" s="96">
        <f t="shared" si="50"/>
        <v>2171.4052284405284</v>
      </c>
      <c r="D248" s="96">
        <f t="shared" si="49"/>
        <v>259625.84385377952</v>
      </c>
      <c r="E248" s="26"/>
      <c r="F248" s="99"/>
      <c r="G248" s="95"/>
      <c r="H248" s="95"/>
      <c r="I248" s="95"/>
      <c r="J248" s="133"/>
      <c r="K248" s="95"/>
    </row>
    <row r="249" spans="1:11" ht="12.75" hidden="1">
      <c r="A249" s="21" t="s">
        <v>8</v>
      </c>
      <c r="B249" s="95">
        <f t="shared" si="48"/>
        <v>3264.604628322491</v>
      </c>
      <c r="C249" s="96">
        <f t="shared" si="50"/>
        <v>2183.619382850506</v>
      </c>
      <c r="D249" s="96">
        <f t="shared" si="49"/>
        <v>261809.46323663002</v>
      </c>
      <c r="E249" s="26"/>
      <c r="F249" s="99"/>
      <c r="G249" s="95"/>
      <c r="H249" s="95"/>
      <c r="I249" s="95"/>
      <c r="J249" s="133"/>
      <c r="K249" s="95"/>
    </row>
    <row r="250" spans="1:11" ht="12.75" hidden="1">
      <c r="A250" s="21" t="s">
        <v>9</v>
      </c>
      <c r="B250" s="95">
        <f t="shared" si="48"/>
        <v>3252.321769293957</v>
      </c>
      <c r="C250" s="96">
        <f t="shared" si="50"/>
        <v>2195.90224187904</v>
      </c>
      <c r="D250" s="96">
        <f t="shared" si="49"/>
        <v>264005.36547850905</v>
      </c>
      <c r="E250" s="26"/>
      <c r="F250" s="99"/>
      <c r="G250" s="95"/>
      <c r="H250" s="95"/>
      <c r="I250" s="95"/>
      <c r="J250" s="133"/>
      <c r="K250" s="95"/>
    </row>
    <row r="251" spans="1:11" ht="12.75" hidden="1">
      <c r="A251" s="21" t="s">
        <v>10</v>
      </c>
      <c r="B251" s="95">
        <f t="shared" si="48"/>
        <v>3239.969819183387</v>
      </c>
      <c r="C251" s="96">
        <f t="shared" si="50"/>
        <v>2208.2541919896103</v>
      </c>
      <c r="D251" s="96">
        <f t="shared" si="49"/>
        <v>266213.61967049865</v>
      </c>
      <c r="E251" s="26"/>
      <c r="F251" s="99"/>
      <c r="G251" s="95"/>
      <c r="H251" s="95"/>
      <c r="I251" s="95"/>
      <c r="J251" s="133"/>
      <c r="K251" s="95"/>
    </row>
    <row r="252" spans="1:11" ht="12.75" hidden="1">
      <c r="A252" s="21" t="s">
        <v>11</v>
      </c>
      <c r="B252" s="95">
        <f t="shared" si="48"/>
        <v>3227.5483893534456</v>
      </c>
      <c r="C252" s="96">
        <f t="shared" si="50"/>
        <v>2220.6756218195515</v>
      </c>
      <c r="D252" s="96">
        <f t="shared" si="49"/>
        <v>268434.2952923182</v>
      </c>
      <c r="E252" s="26"/>
      <c r="F252" s="99"/>
      <c r="G252" s="95"/>
      <c r="H252" s="95"/>
      <c r="I252" s="95"/>
      <c r="J252" s="133"/>
      <c r="K252" s="95"/>
    </row>
    <row r="253" spans="1:11" ht="12.75" hidden="1">
      <c r="A253" s="21" t="s">
        <v>12</v>
      </c>
      <c r="B253" s="95">
        <f t="shared" si="48"/>
        <v>3215.0570889807104</v>
      </c>
      <c r="C253" s="96">
        <f t="shared" si="50"/>
        <v>2233.1669221922866</v>
      </c>
      <c r="D253" s="96">
        <f t="shared" si="49"/>
        <v>270667.4622145105</v>
      </c>
      <c r="E253" s="26"/>
      <c r="F253" s="99"/>
      <c r="G253" s="95"/>
      <c r="H253" s="95"/>
      <c r="I253" s="95"/>
      <c r="J253" s="133"/>
      <c r="K253" s="95"/>
    </row>
    <row r="254" spans="1:11" ht="12.75" hidden="1">
      <c r="A254" s="21" t="s">
        <v>13</v>
      </c>
      <c r="B254" s="95">
        <f t="shared" si="48"/>
        <v>3202.495525043379</v>
      </c>
      <c r="C254" s="96">
        <f t="shared" si="50"/>
        <v>2245.728486129618</v>
      </c>
      <c r="D254" s="96">
        <f t="shared" si="49"/>
        <v>272913.1907006401</v>
      </c>
      <c r="E254" s="26"/>
      <c r="F254" s="99"/>
      <c r="G254" s="95"/>
      <c r="H254" s="95"/>
      <c r="I254" s="95"/>
      <c r="J254" s="133"/>
      <c r="K254" s="95"/>
    </row>
    <row r="255" spans="1:11" ht="12.75" hidden="1">
      <c r="A255" s="21" t="s">
        <v>14</v>
      </c>
      <c r="B255" s="95">
        <f t="shared" si="48"/>
        <v>3189.8633023089</v>
      </c>
      <c r="C255" s="96">
        <f t="shared" si="50"/>
        <v>2258.360708864097</v>
      </c>
      <c r="D255" s="96">
        <f t="shared" si="49"/>
        <v>275171.5514095042</v>
      </c>
      <c r="E255" s="26"/>
      <c r="F255" s="99"/>
      <c r="G255" s="95"/>
      <c r="H255" s="95"/>
      <c r="I255" s="95"/>
      <c r="J255" s="133"/>
      <c r="K255" s="95"/>
    </row>
    <row r="256" spans="1:11" ht="12.75">
      <c r="A256" s="21" t="s">
        <v>29</v>
      </c>
      <c r="B256" s="95">
        <f>B242+SUM(B244:B255)</f>
        <v>842986.1468697871</v>
      </c>
      <c r="C256" s="96">
        <f>D255</f>
        <v>275171.5514095042</v>
      </c>
      <c r="D256" s="96"/>
      <c r="E256" s="95">
        <f>MAX(0,MAX(0,((B256-B242)-MAX($M$144,$M$47*$M$89))*Fed_marginal_rate)+MAX(0,((B256-B242)-$M$158)*State_marginal_rate)-$P$47)</f>
        <v>10304.936205630014</v>
      </c>
      <c r="F256" s="99">
        <f>$B$13-E256/12+($F$4*(1-$F$11)*$B$3+$F$5+$F$6)/12</f>
        <v>5845.0293273704965</v>
      </c>
      <c r="G256" s="95">
        <f>(F256-$F$14*(1+$F$15)^16)</f>
        <v>228.5567905247417</v>
      </c>
      <c r="H256" s="95">
        <f>((FV($F$10/12,12,-G256)-12*G256)+I242*$F$10)*(1-$F$11)</f>
        <v>19888.249861749355</v>
      </c>
      <c r="I256" s="95">
        <f>12*G256+H256+I242</f>
        <v>399736.8703783423</v>
      </c>
      <c r="J256" s="133">
        <f>F256-(C256-C242)/12</f>
        <v>3654.866590646004</v>
      </c>
      <c r="K256" s="95"/>
    </row>
    <row r="257" spans="1:11" ht="12.75">
      <c r="A257" s="130" t="s">
        <v>56</v>
      </c>
      <c r="B257" s="93"/>
      <c r="C257" s="93"/>
      <c r="D257" s="26"/>
      <c r="E257" s="26"/>
      <c r="F257" s="99"/>
      <c r="G257" s="95"/>
      <c r="H257" s="95"/>
      <c r="I257" s="95"/>
      <c r="J257" s="133"/>
      <c r="K257" s="95"/>
    </row>
    <row r="258" spans="1:11" ht="12.75" hidden="1">
      <c r="A258" s="21" t="s">
        <v>3</v>
      </c>
      <c r="B258" s="95">
        <f>$B$5/12*($B$9-D255)</f>
        <v>3177.1600233215395</v>
      </c>
      <c r="C258" s="96">
        <f>MIN($B$13-B258,MAX(0,$B$9-C256))</f>
        <v>2271.0639878514576</v>
      </c>
      <c r="D258" s="96">
        <f>D255+C258</f>
        <v>277442.61539735564</v>
      </c>
      <c r="E258" s="26"/>
      <c r="F258" s="99"/>
      <c r="G258" s="95"/>
      <c r="H258" s="95"/>
      <c r="I258" s="95"/>
      <c r="J258" s="133"/>
      <c r="K258" s="95"/>
    </row>
    <row r="259" spans="1:11" ht="12.75" hidden="1">
      <c r="A259" s="21" t="s">
        <v>4</v>
      </c>
      <c r="B259" s="95">
        <f aca="true" t="shared" si="51" ref="B259:B269">$B$5/12*($B$9-D258)</f>
        <v>3164.385288389875</v>
      </c>
      <c r="C259" s="96">
        <f>MIN($B$13-B259,MAX(0,$B$9-D258))</f>
        <v>2283.838722783122</v>
      </c>
      <c r="D259" s="96">
        <f aca="true" t="shared" si="52" ref="D259:D269">D258+C259</f>
        <v>279726.4541201388</v>
      </c>
      <c r="E259" s="26"/>
      <c r="F259" s="99"/>
      <c r="G259" s="95"/>
      <c r="H259" s="95"/>
      <c r="I259" s="95"/>
      <c r="J259" s="133"/>
      <c r="K259" s="95"/>
    </row>
    <row r="260" spans="1:11" ht="12.75" hidden="1">
      <c r="A260" s="21" t="s">
        <v>5</v>
      </c>
      <c r="B260" s="95">
        <f t="shared" si="51"/>
        <v>3151.5386955742197</v>
      </c>
      <c r="C260" s="96">
        <f aca="true" t="shared" si="53" ref="C260:C269">MIN($B$13-B260,MAX(0,$B$9-D259))</f>
        <v>2296.6853155987774</v>
      </c>
      <c r="D260" s="96">
        <f t="shared" si="52"/>
        <v>282023.13943573757</v>
      </c>
      <c r="E260" s="26"/>
      <c r="F260" s="99"/>
      <c r="G260" s="95"/>
      <c r="H260" s="95"/>
      <c r="I260" s="95"/>
      <c r="J260" s="133"/>
      <c r="K260" s="95"/>
    </row>
    <row r="261" spans="1:11" ht="12.75" hidden="1">
      <c r="A261" s="21" t="s">
        <v>6</v>
      </c>
      <c r="B261" s="95">
        <f t="shared" si="51"/>
        <v>3138.6198406739763</v>
      </c>
      <c r="C261" s="96">
        <f t="shared" si="53"/>
        <v>2309.6041704990207</v>
      </c>
      <c r="D261" s="96">
        <f t="shared" si="52"/>
        <v>284332.7436062366</v>
      </c>
      <c r="E261" s="26"/>
      <c r="F261" s="99"/>
      <c r="G261" s="95"/>
      <c r="H261" s="95"/>
      <c r="I261" s="95"/>
      <c r="J261" s="133"/>
      <c r="K261" s="95"/>
    </row>
    <row r="262" spans="1:11" ht="12.75" hidden="1">
      <c r="A262" s="21" t="s">
        <v>7</v>
      </c>
      <c r="B262" s="95">
        <f t="shared" si="51"/>
        <v>3125.6283172149197</v>
      </c>
      <c r="C262" s="96">
        <f t="shared" si="53"/>
        <v>2322.5956939580774</v>
      </c>
      <c r="D262" s="96">
        <f t="shared" si="52"/>
        <v>286655.33930019464</v>
      </c>
      <c r="E262" s="26"/>
      <c r="F262" s="99"/>
      <c r="G262" s="95"/>
      <c r="H262" s="95"/>
      <c r="I262" s="95"/>
      <c r="J262" s="133"/>
      <c r="K262" s="95"/>
    </row>
    <row r="263" spans="1:11" ht="12.75" hidden="1">
      <c r="A263" s="21" t="s">
        <v>8</v>
      </c>
      <c r="B263" s="95">
        <f t="shared" si="51"/>
        <v>3112.5637164364057</v>
      </c>
      <c r="C263" s="96">
        <f t="shared" si="53"/>
        <v>2335.6602947365914</v>
      </c>
      <c r="D263" s="96">
        <f t="shared" si="52"/>
        <v>288990.99959493126</v>
      </c>
      <c r="E263" s="26"/>
      <c r="F263" s="99"/>
      <c r="G263" s="95"/>
      <c r="H263" s="95"/>
      <c r="I263" s="95"/>
      <c r="J263" s="133"/>
      <c r="K263" s="95"/>
    </row>
    <row r="264" spans="1:11" ht="12.75" hidden="1">
      <c r="A264" s="21" t="s">
        <v>9</v>
      </c>
      <c r="B264" s="95">
        <f t="shared" si="51"/>
        <v>3099.425627278512</v>
      </c>
      <c r="C264" s="96">
        <f t="shared" si="53"/>
        <v>2348.798383894485</v>
      </c>
      <c r="D264" s="96">
        <f t="shared" si="52"/>
        <v>291339.79797882575</v>
      </c>
      <c r="E264" s="26"/>
      <c r="F264" s="99"/>
      <c r="G264" s="95"/>
      <c r="H264" s="95"/>
      <c r="I264" s="95"/>
      <c r="J264" s="133"/>
      <c r="K264" s="95"/>
    </row>
    <row r="265" spans="1:11" ht="12.75" hidden="1">
      <c r="A265" s="21" t="s">
        <v>10</v>
      </c>
      <c r="B265" s="95">
        <f t="shared" si="51"/>
        <v>3086.2136363691056</v>
      </c>
      <c r="C265" s="96">
        <f t="shared" si="53"/>
        <v>2362.0103748038914</v>
      </c>
      <c r="D265" s="96">
        <f t="shared" si="52"/>
        <v>293701.80835362966</v>
      </c>
      <c r="E265" s="26"/>
      <c r="F265" s="99"/>
      <c r="G265" s="95"/>
      <c r="H265" s="95"/>
      <c r="I265" s="95"/>
      <c r="J265" s="133"/>
      <c r="K265" s="95"/>
    </row>
    <row r="266" spans="1:11" ht="12.75" hidden="1">
      <c r="A266" s="21" t="s">
        <v>11</v>
      </c>
      <c r="B266" s="95">
        <f t="shared" si="51"/>
        <v>3072.9273280108337</v>
      </c>
      <c r="C266" s="96">
        <f t="shared" si="53"/>
        <v>2375.2966831621634</v>
      </c>
      <c r="D266" s="96">
        <f t="shared" si="52"/>
        <v>296077.1050367918</v>
      </c>
      <c r="E266" s="26"/>
      <c r="F266" s="99"/>
      <c r="G266" s="95"/>
      <c r="H266" s="95"/>
      <c r="I266" s="95"/>
      <c r="J266" s="133"/>
      <c r="K266" s="95"/>
    </row>
    <row r="267" spans="1:11" ht="12.75" hidden="1">
      <c r="A267" s="21" t="s">
        <v>12</v>
      </c>
      <c r="B267" s="95">
        <f t="shared" si="51"/>
        <v>3059.566284168046</v>
      </c>
      <c r="C267" s="96">
        <f t="shared" si="53"/>
        <v>2388.657727004951</v>
      </c>
      <c r="D267" s="96">
        <f t="shared" si="52"/>
        <v>298465.7627637968</v>
      </c>
      <c r="E267" s="26"/>
      <c r="F267" s="99"/>
      <c r="G267" s="95"/>
      <c r="H267" s="95"/>
      <c r="I267" s="95"/>
      <c r="J267" s="133"/>
      <c r="K267" s="95"/>
    </row>
    <row r="268" spans="1:11" ht="12.75" hidden="1">
      <c r="A268" s="21" t="s">
        <v>13</v>
      </c>
      <c r="B268" s="95">
        <f t="shared" si="51"/>
        <v>3046.130084453643</v>
      </c>
      <c r="C268" s="96">
        <f t="shared" si="53"/>
        <v>2402.093926719354</v>
      </c>
      <c r="D268" s="96">
        <f t="shared" si="52"/>
        <v>300867.8566905161</v>
      </c>
      <c r="E268" s="26"/>
      <c r="F268" s="99"/>
      <c r="G268" s="95"/>
      <c r="H268" s="95"/>
      <c r="I268" s="95"/>
      <c r="J268" s="133"/>
      <c r="K268" s="95"/>
    </row>
    <row r="269" spans="1:11" ht="12.75" hidden="1">
      <c r="A269" s="21" t="s">
        <v>14</v>
      </c>
      <c r="B269" s="95">
        <f t="shared" si="51"/>
        <v>3032.618306115847</v>
      </c>
      <c r="C269" s="96">
        <f t="shared" si="53"/>
        <v>2415.60570505715</v>
      </c>
      <c r="D269" s="96">
        <f t="shared" si="52"/>
        <v>303283.46239557327</v>
      </c>
      <c r="E269" s="26"/>
      <c r="F269" s="99"/>
      <c r="G269" s="95"/>
      <c r="H269" s="95"/>
      <c r="I269" s="95"/>
      <c r="J269" s="133"/>
      <c r="K269" s="95"/>
    </row>
    <row r="270" spans="1:11" ht="12.75">
      <c r="A270" s="21" t="s">
        <v>29</v>
      </c>
      <c r="B270" s="95">
        <f>B256+SUM(B258:B269)</f>
        <v>880252.9240177941</v>
      </c>
      <c r="C270" s="96">
        <f>D269</f>
        <v>303283.46239557327</v>
      </c>
      <c r="D270" s="96"/>
      <c r="E270" s="95">
        <f>MAX(0,MAX(0,((B270-B256)-MAX($M$144,$M$47*$M$89))*Fed_marginal_rate)+MAX(0,((B270-B256)-$M$158)*State_marginal_rate)-$P$47)</f>
        <v>9677.260561766383</v>
      </c>
      <c r="F270" s="99">
        <f>$B$13-E270/12+($F$4*(1-$F$11)*$B$3+$F$5+$F$6)/12</f>
        <v>5897.335631025799</v>
      </c>
      <c r="G270" s="95">
        <f>(F270-$F$14*(1+$F$15)^17)</f>
        <v>112.36891807467146</v>
      </c>
      <c r="H270" s="95">
        <f>((FV($F$10/12,12,-G270)-12*G270)+I256*$F$10)*(1-$F$11)</f>
        <v>21043.386316122083</v>
      </c>
      <c r="I270" s="95">
        <f>12*G270+H270+I256</f>
        <v>422128.68371136044</v>
      </c>
      <c r="J270" s="133">
        <f>F270-(C270-C256)/12</f>
        <v>3554.67638218671</v>
      </c>
      <c r="K270" s="95"/>
    </row>
    <row r="271" spans="1:11" ht="12.75">
      <c r="A271" s="130" t="s">
        <v>57</v>
      </c>
      <c r="B271" s="93"/>
      <c r="C271" s="93"/>
      <c r="D271" s="26"/>
      <c r="E271" s="26"/>
      <c r="F271" s="99"/>
      <c r="G271" s="95"/>
      <c r="H271" s="95"/>
      <c r="I271" s="95"/>
      <c r="J271" s="133"/>
      <c r="K271" s="95"/>
    </row>
    <row r="272" spans="1:11" ht="12.75" hidden="1">
      <c r="A272" s="21" t="s">
        <v>3</v>
      </c>
      <c r="B272" s="95">
        <f>$B$5/12*($B$9-D269)</f>
        <v>3019.030524024901</v>
      </c>
      <c r="C272" s="96">
        <f>MIN($B$13-B272,MAX(0,$B$9-C270))</f>
        <v>2429.193487148096</v>
      </c>
      <c r="D272" s="96">
        <f>D269+C272</f>
        <v>305712.65588272136</v>
      </c>
      <c r="E272" s="26"/>
      <c r="F272" s="99"/>
      <c r="G272" s="95"/>
      <c r="H272" s="95"/>
      <c r="I272" s="95"/>
      <c r="J272" s="133"/>
      <c r="K272" s="95"/>
    </row>
    <row r="273" spans="1:11" ht="12.75" hidden="1">
      <c r="A273" s="21" t="s">
        <v>4</v>
      </c>
      <c r="B273" s="95">
        <f aca="true" t="shared" si="54" ref="B273:B283">$B$5/12*($B$9-D272)</f>
        <v>3005.366310659693</v>
      </c>
      <c r="C273" s="96">
        <f>MIN($B$13-B273,MAX(0,$B$9-D272))</f>
        <v>2442.857700513304</v>
      </c>
      <c r="D273" s="96">
        <f aca="true" t="shared" si="55" ref="D273:D283">D272+C273</f>
        <v>308155.5135832347</v>
      </c>
      <c r="E273" s="26"/>
      <c r="F273" s="99"/>
      <c r="G273" s="95"/>
      <c r="H273" s="95"/>
      <c r="I273" s="95"/>
      <c r="J273" s="133"/>
      <c r="K273" s="95"/>
    </row>
    <row r="274" spans="1:11" ht="12.75" hidden="1">
      <c r="A274" s="21" t="s">
        <v>5</v>
      </c>
      <c r="B274" s="95">
        <f t="shared" si="54"/>
        <v>2991.625236094305</v>
      </c>
      <c r="C274" s="96">
        <f aca="true" t="shared" si="56" ref="C274:C283">MIN($B$13-B274,MAX(0,$B$9-D273))</f>
        <v>2456.598775078692</v>
      </c>
      <c r="D274" s="96">
        <f t="shared" si="55"/>
        <v>310612.1123583134</v>
      </c>
      <c r="E274" s="26"/>
      <c r="F274" s="99"/>
      <c r="G274" s="95"/>
      <c r="H274" s="95"/>
      <c r="I274" s="95"/>
      <c r="J274" s="133"/>
      <c r="K274" s="95"/>
    </row>
    <row r="275" spans="1:11" ht="12.75" hidden="1">
      <c r="A275" s="21" t="s">
        <v>6</v>
      </c>
      <c r="B275" s="95">
        <f t="shared" si="54"/>
        <v>2977.8068679844873</v>
      </c>
      <c r="C275" s="96">
        <f t="shared" si="56"/>
        <v>2470.4171431885097</v>
      </c>
      <c r="D275" s="96">
        <f t="shared" si="55"/>
        <v>313082.52950150194</v>
      </c>
      <c r="E275" s="26"/>
      <c r="F275" s="99"/>
      <c r="G275" s="95"/>
      <c r="H275" s="95"/>
      <c r="I275" s="95"/>
      <c r="J275" s="133"/>
      <c r="K275" s="95"/>
    </row>
    <row r="276" spans="1:11" ht="12.75" hidden="1">
      <c r="A276" s="21" t="s">
        <v>7</v>
      </c>
      <c r="B276" s="95">
        <f t="shared" si="54"/>
        <v>2963.9107715540517</v>
      </c>
      <c r="C276" s="96">
        <f t="shared" si="56"/>
        <v>2484.3132396189453</v>
      </c>
      <c r="D276" s="96">
        <f t="shared" si="55"/>
        <v>315566.8427411209</v>
      </c>
      <c r="E276" s="26"/>
      <c r="F276" s="99"/>
      <c r="G276" s="95"/>
      <c r="H276" s="95"/>
      <c r="I276" s="95"/>
      <c r="J276" s="133"/>
      <c r="K276" s="95"/>
    </row>
    <row r="277" spans="1:11" ht="12.75" hidden="1">
      <c r="A277" s="21" t="s">
        <v>8</v>
      </c>
      <c r="B277" s="95">
        <f t="shared" si="54"/>
        <v>2949.9365095811954</v>
      </c>
      <c r="C277" s="96">
        <f t="shared" si="56"/>
        <v>2498.2875015918016</v>
      </c>
      <c r="D277" s="96">
        <f t="shared" si="55"/>
        <v>318065.1302427127</v>
      </c>
      <c r="E277" s="26"/>
      <c r="F277" s="99"/>
      <c r="G277" s="95"/>
      <c r="H277" s="95"/>
      <c r="I277" s="95"/>
      <c r="J277" s="133"/>
      <c r="K277" s="95"/>
    </row>
    <row r="278" spans="1:11" ht="12.75" hidden="1">
      <c r="A278" s="21" t="s">
        <v>9</v>
      </c>
      <c r="B278" s="95">
        <f t="shared" si="54"/>
        <v>2935.8836423847415</v>
      </c>
      <c r="C278" s="96">
        <f t="shared" si="56"/>
        <v>2512.3403687882555</v>
      </c>
      <c r="D278" s="96">
        <f t="shared" si="55"/>
        <v>320577.47061150096</v>
      </c>
      <c r="E278" s="26"/>
      <c r="F278" s="99"/>
      <c r="G278" s="95"/>
      <c r="H278" s="95"/>
      <c r="I278" s="95"/>
      <c r="J278" s="133"/>
      <c r="K278" s="95"/>
    </row>
    <row r="279" spans="1:11" ht="12.75" hidden="1">
      <c r="A279" s="21" t="s">
        <v>10</v>
      </c>
      <c r="B279" s="95">
        <f t="shared" si="54"/>
        <v>2921.7517278103073</v>
      </c>
      <c r="C279" s="96">
        <f t="shared" si="56"/>
        <v>2526.4722833626897</v>
      </c>
      <c r="D279" s="96">
        <f t="shared" si="55"/>
        <v>323103.94289486366</v>
      </c>
      <c r="E279" s="26"/>
      <c r="F279" s="99"/>
      <c r="G279" s="95"/>
      <c r="H279" s="95"/>
      <c r="I279" s="95"/>
      <c r="J279" s="133"/>
      <c r="K279" s="95"/>
    </row>
    <row r="280" spans="1:11" ht="12.75" hidden="1">
      <c r="A280" s="21" t="s">
        <v>11</v>
      </c>
      <c r="B280" s="95">
        <f t="shared" si="54"/>
        <v>2907.5403212163924</v>
      </c>
      <c r="C280" s="96">
        <f t="shared" si="56"/>
        <v>2540.6836899566047</v>
      </c>
      <c r="D280" s="96">
        <f t="shared" si="55"/>
        <v>325644.6265848203</v>
      </c>
      <c r="E280" s="26"/>
      <c r="F280" s="99"/>
      <c r="G280" s="95"/>
      <c r="H280" s="95"/>
      <c r="I280" s="95"/>
      <c r="J280" s="133"/>
      <c r="K280" s="95"/>
    </row>
    <row r="281" spans="1:11" ht="12.75" hidden="1">
      <c r="A281" s="21" t="s">
        <v>12</v>
      </c>
      <c r="B281" s="95">
        <f t="shared" si="54"/>
        <v>2893.248975460386</v>
      </c>
      <c r="C281" s="96">
        <f t="shared" si="56"/>
        <v>2554.975035712611</v>
      </c>
      <c r="D281" s="96">
        <f t="shared" si="55"/>
        <v>328199.60162053286</v>
      </c>
      <c r="E281" s="26"/>
      <c r="F281" s="99"/>
      <c r="G281" s="95"/>
      <c r="H281" s="95"/>
      <c r="I281" s="95"/>
      <c r="J281" s="133"/>
      <c r="K281" s="95"/>
    </row>
    <row r="282" spans="1:11" ht="12.75" hidden="1">
      <c r="A282" s="21" t="s">
        <v>13</v>
      </c>
      <c r="B282" s="95">
        <f t="shared" si="54"/>
        <v>2878.877240884503</v>
      </c>
      <c r="C282" s="96">
        <f t="shared" si="56"/>
        <v>2569.346770288494</v>
      </c>
      <c r="D282" s="96">
        <f t="shared" si="55"/>
        <v>330768.94839082134</v>
      </c>
      <c r="E282" s="26"/>
      <c r="F282" s="99"/>
      <c r="G282" s="95"/>
      <c r="H282" s="95"/>
      <c r="I282" s="95"/>
      <c r="J282" s="133"/>
      <c r="K282" s="95"/>
    </row>
    <row r="283" spans="1:11" ht="12.75" hidden="1">
      <c r="A283" s="21" t="s">
        <v>14</v>
      </c>
      <c r="B283" s="95">
        <f t="shared" si="54"/>
        <v>2864.4246653016303</v>
      </c>
      <c r="C283" s="96">
        <f t="shared" si="56"/>
        <v>2583.7993458713668</v>
      </c>
      <c r="D283" s="96">
        <f t="shared" si="55"/>
        <v>333352.7477366927</v>
      </c>
      <c r="E283" s="26"/>
      <c r="F283" s="99"/>
      <c r="G283" s="95"/>
      <c r="H283" s="95"/>
      <c r="I283" s="95"/>
      <c r="J283" s="133"/>
      <c r="K283" s="95"/>
    </row>
    <row r="284" spans="1:11" ht="12.75">
      <c r="A284" s="21" t="s">
        <v>29</v>
      </c>
      <c r="B284" s="95">
        <f>B270+SUM(B272:B283)</f>
        <v>915562.3268107506</v>
      </c>
      <c r="C284" s="96">
        <f>D283</f>
        <v>333352.7477366927</v>
      </c>
      <c r="D284" s="96"/>
      <c r="E284" s="95">
        <f>MAX(0,MAX(0,((B284-B270)-MAX($M$144,$M$47*$M$89))*Fed_marginal_rate)+MAX(0,((B284-B270)-$M$158)*State_marginal_rate)-$P$47)</f>
        <v>9005.881157984102</v>
      </c>
      <c r="F284" s="99">
        <f>$B$13-E284/12+($F$4*(1-$F$11)*$B$3+$F$5+$F$6)/12</f>
        <v>5953.283914674322</v>
      </c>
      <c r="G284" s="95">
        <f>(F284-$F$14*(1+$F$15)^18)</f>
        <v>-5.231799665339167</v>
      </c>
      <c r="H284" s="95">
        <f>((FV($F$10/12,12,-G284)-12*G284)+I270*$F$10)*(1-$F$11)</f>
        <v>22185.537088585064</v>
      </c>
      <c r="I284" s="95">
        <f>12*G284+H284+I270</f>
        <v>444251.43920396146</v>
      </c>
      <c r="J284" s="133">
        <f>F284-(C284-C270)/12</f>
        <v>3447.5101362477008</v>
      </c>
      <c r="K284" s="95"/>
    </row>
    <row r="285" spans="1:11" ht="12.75">
      <c r="A285" s="130" t="s">
        <v>58</v>
      </c>
      <c r="B285" s="93"/>
      <c r="C285" s="93"/>
      <c r="D285" s="26"/>
      <c r="E285" s="26"/>
      <c r="F285" s="99"/>
      <c r="G285" s="95"/>
      <c r="H285" s="95"/>
      <c r="I285" s="95"/>
      <c r="J285" s="133"/>
      <c r="K285" s="95"/>
    </row>
    <row r="286" spans="1:11" ht="12.75" hidden="1">
      <c r="A286" s="21" t="s">
        <v>3</v>
      </c>
      <c r="B286" s="95">
        <f>$B$5/12*($B$9-D283)</f>
        <v>2849.890793981104</v>
      </c>
      <c r="C286" s="96">
        <f>MIN($B$13-B286,MAX(0,$B$9-C284))</f>
        <v>2598.3332171918933</v>
      </c>
      <c r="D286" s="96">
        <f>D283+C286</f>
        <v>335951.08095388464</v>
      </c>
      <c r="E286" s="26"/>
      <c r="F286" s="99"/>
      <c r="G286" s="95"/>
      <c r="H286" s="95"/>
      <c r="I286" s="95"/>
      <c r="J286" s="133"/>
      <c r="K286" s="95"/>
    </row>
    <row r="287" spans="1:11" ht="12.75" hidden="1">
      <c r="A287" s="21" t="s">
        <v>4</v>
      </c>
      <c r="B287" s="95">
        <f aca="true" t="shared" si="57" ref="B287:B297">$B$5/12*($B$9-D286)</f>
        <v>2835.2751696343994</v>
      </c>
      <c r="C287" s="96">
        <f>MIN($B$13-B287,MAX(0,$B$9-D286))</f>
        <v>2612.9488415385977</v>
      </c>
      <c r="D287" s="96">
        <f aca="true" t="shared" si="58" ref="D287:D297">D286+C287</f>
        <v>338564.0297954232</v>
      </c>
      <c r="E287" s="26"/>
      <c r="F287" s="99"/>
      <c r="G287" s="95"/>
      <c r="H287" s="95"/>
      <c r="I287" s="95"/>
      <c r="J287" s="133"/>
      <c r="K287" s="95"/>
    </row>
    <row r="288" spans="1:11" ht="12.75" hidden="1">
      <c r="A288" s="21" t="s">
        <v>5</v>
      </c>
      <c r="B288" s="95">
        <f t="shared" si="57"/>
        <v>2820.5773324007446</v>
      </c>
      <c r="C288" s="96">
        <f aca="true" t="shared" si="59" ref="C288:C297">MIN($B$13-B288,MAX(0,$B$9-D287))</f>
        <v>2627.6466787722525</v>
      </c>
      <c r="D288" s="96">
        <f t="shared" si="58"/>
        <v>341191.67647419544</v>
      </c>
      <c r="E288" s="26"/>
      <c r="F288" s="99"/>
      <c r="G288" s="95"/>
      <c r="H288" s="95"/>
      <c r="I288" s="95"/>
      <c r="J288" s="133"/>
      <c r="K288" s="95"/>
    </row>
    <row r="289" spans="1:11" ht="12.75" hidden="1">
      <c r="A289" s="21" t="s">
        <v>6</v>
      </c>
      <c r="B289" s="95">
        <f t="shared" si="57"/>
        <v>2805.796819832651</v>
      </c>
      <c r="C289" s="96">
        <f t="shared" si="59"/>
        <v>2642.427191340346</v>
      </c>
      <c r="D289" s="96">
        <f t="shared" si="58"/>
        <v>343834.1036655358</v>
      </c>
      <c r="E289" s="26"/>
      <c r="F289" s="99"/>
      <c r="G289" s="95"/>
      <c r="H289" s="95"/>
      <c r="I289" s="95"/>
      <c r="J289" s="133"/>
      <c r="K289" s="95"/>
    </row>
    <row r="290" spans="1:11" ht="12.75" hidden="1">
      <c r="A290" s="21" t="s">
        <v>7</v>
      </c>
      <c r="B290" s="95">
        <f t="shared" si="57"/>
        <v>2790.9331668813616</v>
      </c>
      <c r="C290" s="96">
        <f t="shared" si="59"/>
        <v>2657.2908442916355</v>
      </c>
      <c r="D290" s="96">
        <f t="shared" si="58"/>
        <v>346491.3945098274</v>
      </c>
      <c r="E290" s="26"/>
      <c r="F290" s="99"/>
      <c r="G290" s="95"/>
      <c r="H290" s="95"/>
      <c r="I290" s="95"/>
      <c r="J290" s="133"/>
      <c r="K290" s="95"/>
    </row>
    <row r="291" spans="1:11" ht="12.75" hidden="1">
      <c r="A291" s="21" t="s">
        <v>8</v>
      </c>
      <c r="B291" s="95">
        <f t="shared" si="57"/>
        <v>2775.9859058822212</v>
      </c>
      <c r="C291" s="96">
        <f t="shared" si="59"/>
        <v>2672.238105290776</v>
      </c>
      <c r="D291" s="96">
        <f t="shared" si="58"/>
        <v>349163.63261511823</v>
      </c>
      <c r="E291" s="26"/>
      <c r="F291" s="99"/>
      <c r="G291" s="95"/>
      <c r="H291" s="95"/>
      <c r="I291" s="95"/>
      <c r="J291" s="133"/>
      <c r="K291" s="95"/>
    </row>
    <row r="292" spans="1:11" ht="12.75" hidden="1">
      <c r="A292" s="21" t="s">
        <v>9</v>
      </c>
      <c r="B292" s="95">
        <f t="shared" si="57"/>
        <v>2760.95456653996</v>
      </c>
      <c r="C292" s="96">
        <f t="shared" si="59"/>
        <v>2687.269444633037</v>
      </c>
      <c r="D292" s="96">
        <f t="shared" si="58"/>
        <v>351850.9020597513</v>
      </c>
      <c r="E292" s="26"/>
      <c r="F292" s="99"/>
      <c r="G292" s="95"/>
      <c r="H292" s="95"/>
      <c r="I292" s="95"/>
      <c r="J292" s="133"/>
      <c r="K292" s="95"/>
    </row>
    <row r="293" spans="1:11" ht="12.75" hidden="1">
      <c r="A293" s="21" t="s">
        <v>10</v>
      </c>
      <c r="B293" s="95">
        <f t="shared" si="57"/>
        <v>2745.8386759138994</v>
      </c>
      <c r="C293" s="96">
        <f t="shared" si="59"/>
        <v>2702.3853352590977</v>
      </c>
      <c r="D293" s="96">
        <f t="shared" si="58"/>
        <v>354553.28739501035</v>
      </c>
      <c r="E293" s="26"/>
      <c r="F293" s="99"/>
      <c r="G293" s="95"/>
      <c r="H293" s="95"/>
      <c r="I293" s="95"/>
      <c r="J293" s="133"/>
      <c r="K293" s="95"/>
    </row>
    <row r="294" spans="1:11" ht="12.75" hidden="1">
      <c r="A294" s="21" t="s">
        <v>11</v>
      </c>
      <c r="B294" s="95">
        <f t="shared" si="57"/>
        <v>2730.637758403067</v>
      </c>
      <c r="C294" s="96">
        <f t="shared" si="59"/>
        <v>2717.58625276993</v>
      </c>
      <c r="D294" s="96">
        <f t="shared" si="58"/>
        <v>357270.8736477803</v>
      </c>
      <c r="E294" s="26"/>
      <c r="F294" s="99"/>
      <c r="G294" s="95"/>
      <c r="H294" s="95"/>
      <c r="I294" s="95"/>
      <c r="J294" s="133"/>
      <c r="K294" s="95"/>
    </row>
    <row r="295" spans="1:11" ht="12.75" hidden="1">
      <c r="A295" s="21" t="s">
        <v>12</v>
      </c>
      <c r="B295" s="95">
        <f t="shared" si="57"/>
        <v>2715.3513357312363</v>
      </c>
      <c r="C295" s="96">
        <f t="shared" si="59"/>
        <v>2732.8726754417607</v>
      </c>
      <c r="D295" s="96">
        <f t="shared" si="58"/>
        <v>360003.74632322206</v>
      </c>
      <c r="E295" s="26"/>
      <c r="F295" s="99"/>
      <c r="G295" s="95"/>
      <c r="H295" s="95"/>
      <c r="I295" s="95"/>
      <c r="J295" s="133"/>
      <c r="K295" s="95"/>
    </row>
    <row r="296" spans="1:11" ht="12.75" hidden="1">
      <c r="A296" s="21" t="s">
        <v>13</v>
      </c>
      <c r="B296" s="95">
        <f t="shared" si="57"/>
        <v>2699.9789269318762</v>
      </c>
      <c r="C296" s="96">
        <f t="shared" si="59"/>
        <v>2748.245084241121</v>
      </c>
      <c r="D296" s="96">
        <f t="shared" si="58"/>
        <v>362751.9914074632</v>
      </c>
      <c r="E296" s="26"/>
      <c r="F296" s="99"/>
      <c r="G296" s="95"/>
      <c r="H296" s="95"/>
      <c r="I296" s="95"/>
      <c r="J296" s="133"/>
      <c r="K296" s="95"/>
    </row>
    <row r="297" spans="1:11" ht="12.75" hidden="1">
      <c r="A297" s="21" t="s">
        <v>14</v>
      </c>
      <c r="B297" s="95">
        <f t="shared" si="57"/>
        <v>2684.5200483330195</v>
      </c>
      <c r="C297" s="96">
        <f t="shared" si="59"/>
        <v>2763.7039628399775</v>
      </c>
      <c r="D297" s="96">
        <f t="shared" si="58"/>
        <v>365515.6953703032</v>
      </c>
      <c r="E297" s="26"/>
      <c r="F297" s="99"/>
      <c r="G297" s="95"/>
      <c r="H297" s="95"/>
      <c r="I297" s="95"/>
      <c r="J297" s="133"/>
      <c r="K297" s="95"/>
    </row>
    <row r="298" spans="1:11" ht="12.75">
      <c r="A298" s="21" t="s">
        <v>29</v>
      </c>
      <c r="B298" s="95">
        <f>B284+SUM(B286:B297)</f>
        <v>948778.0673112161</v>
      </c>
      <c r="C298" s="96">
        <f>D297</f>
        <v>365515.6953703032</v>
      </c>
      <c r="D298" s="96"/>
      <c r="E298" s="95">
        <f>MAX(0,MAX(0,((B298-B284)-MAX($M$144,$M$47*$M$89))*Fed_marginal_rate)+MAX(0,((B298-B284)-$M$158)*State_marginal_rate)-$P$47)</f>
        <v>8287.754991659667</v>
      </c>
      <c r="F298" s="99">
        <f>$B$13-E298/12+($F$4*(1-$F$11)*$B$3+$F$5+$F$6)/12</f>
        <v>6013.127761868025</v>
      </c>
      <c r="G298" s="95">
        <f>(F298-$F$14*(1+$F$15)^19)</f>
        <v>-124.14342390182628</v>
      </c>
      <c r="H298" s="95">
        <f>((FV($F$10/12,12,-G298)-12*G298)+I284*$F$10)*(1-$F$11)</f>
        <v>23313.1586751655</v>
      </c>
      <c r="I298" s="95">
        <f>12*G298+H298+I284</f>
        <v>466074.87679230503</v>
      </c>
      <c r="J298" s="133">
        <f>F298-(C298-C284)/12</f>
        <v>3332.8821257338204</v>
      </c>
      <c r="K298" s="95"/>
    </row>
    <row r="299" spans="1:11" ht="12.75">
      <c r="A299" s="130" t="s">
        <v>59</v>
      </c>
      <c r="B299" s="93"/>
      <c r="C299" s="93"/>
      <c r="D299" s="26"/>
      <c r="E299" s="26"/>
      <c r="F299" s="99"/>
      <c r="G299" s="95"/>
      <c r="H299" s="95"/>
      <c r="I299" s="95"/>
      <c r="J299" s="133"/>
      <c r="K299" s="95"/>
    </row>
    <row r="300" spans="1:11" ht="12.75" hidden="1">
      <c r="A300" s="21" t="s">
        <v>3</v>
      </c>
      <c r="B300" s="95">
        <f>$B$5/12*($B$9-D297)</f>
        <v>2668.974213542045</v>
      </c>
      <c r="C300" s="96">
        <f>MIN($B$13-B300,MAX(0,$B$9-C298))</f>
        <v>2779.249797630952</v>
      </c>
      <c r="D300" s="96">
        <f>D297+C300</f>
        <v>368294.9451679341</v>
      </c>
      <c r="E300" s="26"/>
      <c r="F300" s="99"/>
      <c r="G300" s="95"/>
      <c r="H300" s="95"/>
      <c r="I300" s="95"/>
      <c r="J300" s="133"/>
      <c r="K300" s="95"/>
    </row>
    <row r="301" spans="1:11" ht="12.75" hidden="1">
      <c r="A301" s="21" t="s">
        <v>4</v>
      </c>
      <c r="B301" s="95">
        <f aca="true" t="shared" si="60" ref="B301:B311">$B$5/12*($B$9-D300)</f>
        <v>2653.340933430371</v>
      </c>
      <c r="C301" s="96">
        <f>MIN($B$13-B301,MAX(0,$B$9-D300))</f>
        <v>2794.883077742626</v>
      </c>
      <c r="D301" s="96">
        <f aca="true" t="shared" si="61" ref="D301:D311">D300+C301</f>
        <v>371089.82824567676</v>
      </c>
      <c r="E301" s="26"/>
      <c r="F301" s="99"/>
      <c r="G301" s="95"/>
      <c r="H301" s="95"/>
      <c r="I301" s="95"/>
      <c r="J301" s="133"/>
      <c r="K301" s="95"/>
    </row>
    <row r="302" spans="1:11" ht="12.75" hidden="1">
      <c r="A302" s="21" t="s">
        <v>5</v>
      </c>
      <c r="B302" s="95">
        <f t="shared" si="60"/>
        <v>2637.6197161180685</v>
      </c>
      <c r="C302" s="96">
        <f aca="true" t="shared" si="62" ref="C302:C311">MIN($B$13-B302,MAX(0,$B$9-D301))</f>
        <v>2810.6042950549286</v>
      </c>
      <c r="D302" s="96">
        <f t="shared" si="61"/>
        <v>373900.4325407317</v>
      </c>
      <c r="E302" s="26"/>
      <c r="F302" s="99"/>
      <c r="G302" s="95"/>
      <c r="H302" s="95"/>
      <c r="I302" s="95"/>
      <c r="J302" s="133"/>
      <c r="K302" s="95"/>
    </row>
    <row r="303" spans="1:11" ht="12.75" hidden="1">
      <c r="A303" s="21" t="s">
        <v>6</v>
      </c>
      <c r="B303" s="95">
        <f t="shared" si="60"/>
        <v>2621.8100669583846</v>
      </c>
      <c r="C303" s="96">
        <f t="shared" si="62"/>
        <v>2826.4139442146125</v>
      </c>
      <c r="D303" s="96">
        <f t="shared" si="61"/>
        <v>376726.8464849463</v>
      </c>
      <c r="E303" s="26"/>
      <c r="F303" s="99"/>
      <c r="G303" s="95"/>
      <c r="H303" s="95"/>
      <c r="I303" s="95"/>
      <c r="J303" s="133"/>
      <c r="K303" s="95"/>
    </row>
    <row r="304" spans="1:11" ht="12.75" hidden="1">
      <c r="A304" s="21" t="s">
        <v>7</v>
      </c>
      <c r="B304" s="95">
        <f t="shared" si="60"/>
        <v>2605.9114885221775</v>
      </c>
      <c r="C304" s="96">
        <f t="shared" si="62"/>
        <v>2842.3125226508196</v>
      </c>
      <c r="D304" s="96">
        <f t="shared" si="61"/>
        <v>379569.15900759713</v>
      </c>
      <c r="E304" s="26"/>
      <c r="F304" s="99"/>
      <c r="G304" s="95"/>
      <c r="H304" s="95"/>
      <c r="I304" s="95"/>
      <c r="J304" s="133"/>
      <c r="K304" s="95"/>
    </row>
    <row r="305" spans="1:11" ht="12.75" hidden="1">
      <c r="A305" s="21" t="s">
        <v>8</v>
      </c>
      <c r="B305" s="95">
        <f t="shared" si="60"/>
        <v>2589.9234805822666</v>
      </c>
      <c r="C305" s="96">
        <f t="shared" si="62"/>
        <v>2858.3005305907304</v>
      </c>
      <c r="D305" s="96">
        <f t="shared" si="61"/>
        <v>382427.4595381879</v>
      </c>
      <c r="E305" s="26"/>
      <c r="F305" s="99"/>
      <c r="G305" s="95"/>
      <c r="H305" s="95"/>
      <c r="I305" s="95"/>
      <c r="J305" s="133"/>
      <c r="K305" s="95"/>
    </row>
    <row r="306" spans="1:11" ht="12.75" hidden="1">
      <c r="A306" s="21" t="s">
        <v>9</v>
      </c>
      <c r="B306" s="95">
        <f t="shared" si="60"/>
        <v>2573.8455400976936</v>
      </c>
      <c r="C306" s="96">
        <f t="shared" si="62"/>
        <v>2874.3784710753034</v>
      </c>
      <c r="D306" s="96">
        <f t="shared" si="61"/>
        <v>385301.8380092632</v>
      </c>
      <c r="E306" s="26"/>
      <c r="F306" s="99"/>
      <c r="G306" s="95"/>
      <c r="H306" s="95"/>
      <c r="I306" s="95"/>
      <c r="J306" s="133"/>
      <c r="K306" s="95"/>
    </row>
    <row r="307" spans="1:11" ht="12.75" hidden="1">
      <c r="A307" s="21" t="s">
        <v>10</v>
      </c>
      <c r="B307" s="95">
        <f t="shared" si="60"/>
        <v>2557.6771611978947</v>
      </c>
      <c r="C307" s="96">
        <f t="shared" si="62"/>
        <v>2890.5468499751023</v>
      </c>
      <c r="D307" s="96">
        <f t="shared" si="61"/>
        <v>388192.38485923834</v>
      </c>
      <c r="E307" s="26"/>
      <c r="F307" s="99"/>
      <c r="G307" s="95"/>
      <c r="H307" s="95"/>
      <c r="I307" s="95"/>
      <c r="J307" s="133"/>
      <c r="K307" s="95"/>
    </row>
    <row r="308" spans="1:11" ht="12.75" hidden="1">
      <c r="A308" s="21" t="s">
        <v>11</v>
      </c>
      <c r="B308" s="95">
        <f t="shared" si="60"/>
        <v>2541.4178351667847</v>
      </c>
      <c r="C308" s="96">
        <f t="shared" si="62"/>
        <v>2906.8061760062124</v>
      </c>
      <c r="D308" s="96">
        <f t="shared" si="61"/>
        <v>391099.19103524456</v>
      </c>
      <c r="E308" s="26"/>
      <c r="F308" s="99"/>
      <c r="G308" s="95"/>
      <c r="H308" s="95"/>
      <c r="I308" s="95"/>
      <c r="J308" s="133"/>
      <c r="K308" s="95"/>
    </row>
    <row r="309" spans="1:11" ht="12.75" hidden="1">
      <c r="A309" s="21" t="s">
        <v>12</v>
      </c>
      <c r="B309" s="95">
        <f t="shared" si="60"/>
        <v>2525.0670504267496</v>
      </c>
      <c r="C309" s="96">
        <f t="shared" si="62"/>
        <v>2923.1569607462475</v>
      </c>
      <c r="D309" s="96">
        <f t="shared" si="61"/>
        <v>394022.3479959908</v>
      </c>
      <c r="E309" s="26"/>
      <c r="F309" s="99"/>
      <c r="G309" s="95"/>
      <c r="H309" s="95"/>
      <c r="I309" s="95"/>
      <c r="J309" s="133"/>
      <c r="K309" s="95"/>
    </row>
    <row r="310" spans="1:11" ht="12.75" hidden="1">
      <c r="A310" s="21" t="s">
        <v>13</v>
      </c>
      <c r="B310" s="95">
        <f t="shared" si="60"/>
        <v>2508.624292522552</v>
      </c>
      <c r="C310" s="96">
        <f t="shared" si="62"/>
        <v>2939.599718650445</v>
      </c>
      <c r="D310" s="96">
        <f t="shared" si="61"/>
        <v>396961.9477146413</v>
      </c>
      <c r="E310" s="26"/>
      <c r="F310" s="99"/>
      <c r="G310" s="95"/>
      <c r="H310" s="95"/>
      <c r="I310" s="95"/>
      <c r="J310" s="133"/>
      <c r="K310" s="95"/>
    </row>
    <row r="311" spans="1:11" ht="12.75" hidden="1">
      <c r="A311" s="21" t="s">
        <v>14</v>
      </c>
      <c r="B311" s="95">
        <f t="shared" si="60"/>
        <v>2492.089044105143</v>
      </c>
      <c r="C311" s="96">
        <f t="shared" si="62"/>
        <v>2956.134967067854</v>
      </c>
      <c r="D311" s="96">
        <f t="shared" si="61"/>
        <v>399918.08268170914</v>
      </c>
      <c r="E311" s="26"/>
      <c r="F311" s="99"/>
      <c r="G311" s="95"/>
      <c r="H311" s="95"/>
      <c r="I311" s="95"/>
      <c r="J311" s="133"/>
      <c r="K311" s="95"/>
    </row>
    <row r="312" spans="1:11" ht="12.75">
      <c r="A312" s="21" t="s">
        <v>29</v>
      </c>
      <c r="B312" s="95">
        <f>B298+SUM(B300:B311)</f>
        <v>979754.3681338863</v>
      </c>
      <c r="C312" s="96">
        <f>D311</f>
        <v>399918.08268170914</v>
      </c>
      <c r="D312" s="96"/>
      <c r="E312" s="95">
        <f>MAX(0,MAX(0,((B312-B298)-MAX($M$144,$M$47*$M$89))*Fed_marginal_rate)+MAX(0,((B312-B298)-$M$158)*State_marginal_rate)-$P$47)</f>
        <v>7519.627182175846</v>
      </c>
      <c r="F312" s="99">
        <f>$B$13-E312/12+($F$4*(1-$F$11)*$B$3+$F$5+$F$6)/12</f>
        <v>6077.138412658343</v>
      </c>
      <c r="G312" s="95">
        <f>(F312-$F$14*(1+$F$15)^20)</f>
        <v>-244.25090868460302</v>
      </c>
      <c r="H312" s="95">
        <f>((FV($F$10/12,12,-G312)-12*G312)+I298*$F$10)*(1-$F$11)</f>
        <v>24424.694614651402</v>
      </c>
      <c r="I312" s="95">
        <f>12*G312+H312+I298</f>
        <v>487568.5605027412</v>
      </c>
      <c r="J312" s="133">
        <f>F312-(C312-C298)/12</f>
        <v>3210.272803374513</v>
      </c>
      <c r="K312" s="95"/>
    </row>
    <row r="313" spans="1:11" ht="12.75">
      <c r="A313" s="130" t="s">
        <v>23</v>
      </c>
      <c r="B313" s="93"/>
      <c r="C313" s="93"/>
      <c r="D313" s="26"/>
      <c r="E313" s="26"/>
      <c r="F313" s="99"/>
      <c r="G313" s="95"/>
      <c r="H313" s="95"/>
      <c r="I313" s="95"/>
      <c r="J313" s="133"/>
      <c r="K313" s="95"/>
    </row>
    <row r="314" spans="1:11" ht="12.75" hidden="1">
      <c r="A314" s="21" t="s">
        <v>3</v>
      </c>
      <c r="B314" s="95">
        <f>$B$5/12*($B$9-D311)</f>
        <v>2475.4607849153863</v>
      </c>
      <c r="C314" s="96">
        <f>MIN($B$13-B314,MAX(0,$B$9-C312))</f>
        <v>2972.7632262576108</v>
      </c>
      <c r="D314" s="96">
        <f>D311+C314</f>
        <v>402890.8459079668</v>
      </c>
      <c r="E314" s="26"/>
      <c r="F314" s="99"/>
      <c r="G314" s="95"/>
      <c r="H314" s="95"/>
      <c r="I314" s="95"/>
      <c r="J314" s="133"/>
      <c r="K314" s="95"/>
    </row>
    <row r="315" spans="1:11" ht="12.75" hidden="1">
      <c r="A315" s="21" t="s">
        <v>4</v>
      </c>
      <c r="B315" s="95">
        <f aca="true" t="shared" si="63" ref="B315:B325">$B$5/12*($B$9-D314)</f>
        <v>2458.7389917676874</v>
      </c>
      <c r="C315" s="96">
        <f>MIN($B$13-B315,MAX(0,$B$9-D314))</f>
        <v>2989.4850194053097</v>
      </c>
      <c r="D315" s="96">
        <f aca="true" t="shared" si="64" ref="D315:D325">D314+C315</f>
        <v>405880.3309273721</v>
      </c>
      <c r="E315" s="26"/>
      <c r="F315" s="99"/>
      <c r="G315" s="95"/>
      <c r="H315" s="95"/>
      <c r="I315" s="95"/>
      <c r="J315" s="133"/>
      <c r="K315" s="95"/>
    </row>
    <row r="316" spans="1:11" ht="12.75" hidden="1">
      <c r="A316" s="21" t="s">
        <v>5</v>
      </c>
      <c r="B316" s="95">
        <f t="shared" si="63"/>
        <v>2441.9231385335324</v>
      </c>
      <c r="C316" s="96">
        <f aca="true" t="shared" si="65" ref="C316:C325">MIN($B$13-B316,MAX(0,$B$9-D315))</f>
        <v>3006.3008726394646</v>
      </c>
      <c r="D316" s="96">
        <f t="shared" si="64"/>
        <v>408886.63180001156</v>
      </c>
      <c r="E316" s="26"/>
      <c r="F316" s="99"/>
      <c r="G316" s="95"/>
      <c r="H316" s="95"/>
      <c r="I316" s="95"/>
      <c r="J316" s="133"/>
      <c r="K316" s="95"/>
    </row>
    <row r="317" spans="1:11" ht="12.75" hidden="1">
      <c r="A317" s="21" t="s">
        <v>6</v>
      </c>
      <c r="B317" s="95">
        <f t="shared" si="63"/>
        <v>2425.0126961249352</v>
      </c>
      <c r="C317" s="96">
        <f t="shared" si="65"/>
        <v>3023.211315048062</v>
      </c>
      <c r="D317" s="96">
        <f t="shared" si="64"/>
        <v>411909.8431150596</v>
      </c>
      <c r="E317" s="26"/>
      <c r="F317" s="99"/>
      <c r="G317" s="95"/>
      <c r="H317" s="95"/>
      <c r="I317" s="95"/>
      <c r="J317" s="133"/>
      <c r="K317" s="95"/>
    </row>
    <row r="318" spans="1:11" ht="12.75" hidden="1">
      <c r="A318" s="21" t="s">
        <v>7</v>
      </c>
      <c r="B318" s="95">
        <f t="shared" si="63"/>
        <v>2408.00713247779</v>
      </c>
      <c r="C318" s="96">
        <f t="shared" si="65"/>
        <v>3040.216878695207</v>
      </c>
      <c r="D318" s="96">
        <f t="shared" si="64"/>
        <v>414950.0599937548</v>
      </c>
      <c r="E318" s="26"/>
      <c r="F318" s="99"/>
      <c r="G318" s="95"/>
      <c r="H318" s="95"/>
      <c r="I318" s="95"/>
      <c r="J318" s="133"/>
      <c r="K318" s="95"/>
    </row>
    <row r="319" spans="1:11" ht="12.75" hidden="1">
      <c r="A319" s="21" t="s">
        <v>8</v>
      </c>
      <c r="B319" s="95">
        <f t="shared" si="63"/>
        <v>2390.9059125351296</v>
      </c>
      <c r="C319" s="96">
        <f t="shared" si="65"/>
        <v>3057.3180986378675</v>
      </c>
      <c r="D319" s="96">
        <f t="shared" si="64"/>
        <v>418007.37809239264</v>
      </c>
      <c r="E319" s="26"/>
      <c r="F319" s="99"/>
      <c r="G319" s="95"/>
      <c r="H319" s="95"/>
      <c r="I319" s="95"/>
      <c r="J319" s="133"/>
      <c r="K319" s="95"/>
    </row>
    <row r="320" spans="1:11" ht="12.75" hidden="1">
      <c r="A320" s="21" t="s">
        <v>9</v>
      </c>
      <c r="B320" s="95">
        <f t="shared" si="63"/>
        <v>2373.7084982302918</v>
      </c>
      <c r="C320" s="96">
        <f t="shared" si="65"/>
        <v>3074.5155129427053</v>
      </c>
      <c r="D320" s="96">
        <f t="shared" si="64"/>
        <v>421081.8936053353</v>
      </c>
      <c r="E320" s="26"/>
      <c r="F320" s="99"/>
      <c r="G320" s="95"/>
      <c r="H320" s="95"/>
      <c r="I320" s="95"/>
      <c r="J320" s="133"/>
      <c r="K320" s="95"/>
    </row>
    <row r="321" spans="1:11" ht="12.75" hidden="1">
      <c r="A321" s="21" t="s">
        <v>10</v>
      </c>
      <c r="B321" s="95">
        <f t="shared" si="63"/>
        <v>2356.414348469989</v>
      </c>
      <c r="C321" s="96">
        <f t="shared" si="65"/>
        <v>3091.809662703008</v>
      </c>
      <c r="D321" s="96">
        <f t="shared" si="64"/>
        <v>424173.70326803834</v>
      </c>
      <c r="E321" s="26"/>
      <c r="F321" s="99"/>
      <c r="G321" s="95"/>
      <c r="H321" s="95"/>
      <c r="I321" s="95"/>
      <c r="J321" s="133"/>
      <c r="K321" s="95"/>
    </row>
    <row r="322" spans="1:11" ht="12.75" hidden="1">
      <c r="A322" s="21" t="s">
        <v>11</v>
      </c>
      <c r="B322" s="95">
        <f t="shared" si="63"/>
        <v>2339.022919117285</v>
      </c>
      <c r="C322" s="96">
        <f t="shared" si="65"/>
        <v>3109.2010920557123</v>
      </c>
      <c r="D322" s="96">
        <f t="shared" si="64"/>
        <v>427282.90436009405</v>
      </c>
      <c r="E322" s="26"/>
      <c r="F322" s="99"/>
      <c r="G322" s="95"/>
      <c r="H322" s="95"/>
      <c r="I322" s="95"/>
      <c r="J322" s="133"/>
      <c r="K322" s="95"/>
    </row>
    <row r="323" spans="1:11" ht="12.75" hidden="1">
      <c r="A323" s="21" t="s">
        <v>12</v>
      </c>
      <c r="B323" s="95">
        <f t="shared" si="63"/>
        <v>2321.533662974471</v>
      </c>
      <c r="C323" s="96">
        <f t="shared" si="65"/>
        <v>3126.690348198526</v>
      </c>
      <c r="D323" s="96">
        <f t="shared" si="64"/>
        <v>430409.59470829257</v>
      </c>
      <c r="E323" s="26"/>
      <c r="F323" s="99"/>
      <c r="G323" s="95"/>
      <c r="H323" s="95"/>
      <c r="I323" s="95"/>
      <c r="J323" s="133"/>
      <c r="K323" s="95"/>
    </row>
    <row r="324" spans="1:11" ht="12.75" hidden="1">
      <c r="A324" s="21" t="s">
        <v>13</v>
      </c>
      <c r="B324" s="95">
        <f t="shared" si="63"/>
        <v>2303.9460297658547</v>
      </c>
      <c r="C324" s="96">
        <f t="shared" si="65"/>
        <v>3144.2779814071423</v>
      </c>
      <c r="D324" s="96">
        <f t="shared" si="64"/>
        <v>433553.8726896997</v>
      </c>
      <c r="E324" s="26"/>
      <c r="F324" s="99"/>
      <c r="G324" s="95"/>
      <c r="H324" s="95"/>
      <c r="I324" s="95"/>
      <c r="J324" s="133"/>
      <c r="K324" s="95"/>
    </row>
    <row r="325" spans="1:11" ht="12.75" hidden="1">
      <c r="A325" s="21" t="s">
        <v>14</v>
      </c>
      <c r="B325" s="95">
        <f t="shared" si="63"/>
        <v>2286.2594661204394</v>
      </c>
      <c r="C325" s="96">
        <f t="shared" si="65"/>
        <v>3161.9645450525577</v>
      </c>
      <c r="D325" s="96">
        <f t="shared" si="64"/>
        <v>436715.83723475225</v>
      </c>
      <c r="E325" s="26"/>
      <c r="F325" s="99"/>
      <c r="G325" s="95"/>
      <c r="H325" s="95"/>
      <c r="I325" s="95"/>
      <c r="J325" s="133"/>
      <c r="K325" s="95"/>
    </row>
    <row r="326" spans="1:11" ht="12.75">
      <c r="A326" s="21" t="s">
        <v>29</v>
      </c>
      <c r="B326" s="95">
        <f>B312+SUM(B314:B325)</f>
        <v>1008335.301714919</v>
      </c>
      <c r="C326" s="96">
        <f>D325</f>
        <v>436715.83723475225</v>
      </c>
      <c r="D326" s="96"/>
      <c r="E326" s="95">
        <f>MAX(0,MAX(0,((B326-B312)-MAX($M$144,$M$47*$M$89))*Fed_marginal_rate)+MAX(0,((B326-B312)-$M$158)*State_marginal_rate)-$P$47)</f>
        <v>6698.016218294248</v>
      </c>
      <c r="F326" s="99">
        <f>$B$13-E326/12+($F$4*(1-$F$11)*$B$3+$F$5+$F$6)/12</f>
        <v>6145.60599298181</v>
      </c>
      <c r="G326" s="95">
        <f>(F326-$F$14*(1+$F$15)^21)</f>
        <v>-365.4250080014235</v>
      </c>
      <c r="H326" s="95">
        <f>((FV($F$10/12,12,-G326)-12*G326)+I312*$F$10)*(1-$F$11)</f>
        <v>25518.58339756936</v>
      </c>
      <c r="I326" s="95">
        <f>12*G326+H326+I312</f>
        <v>508702.0438042935</v>
      </c>
      <c r="J326" s="133">
        <f>F326-(C326-C312)/12</f>
        <v>3079.1264468948843</v>
      </c>
      <c r="K326" s="95"/>
    </row>
    <row r="327" spans="1:11" ht="12.75">
      <c r="A327" s="130" t="s">
        <v>60</v>
      </c>
      <c r="B327" s="93"/>
      <c r="C327" s="93"/>
      <c r="D327" s="26"/>
      <c r="E327" s="26"/>
      <c r="F327" s="99"/>
      <c r="G327" s="95"/>
      <c r="H327" s="95"/>
      <c r="I327" s="95"/>
      <c r="J327" s="133"/>
      <c r="K327" s="95"/>
    </row>
    <row r="328" spans="1:11" ht="12.75" hidden="1">
      <c r="A328" s="21" t="s">
        <v>3</v>
      </c>
      <c r="B328" s="95">
        <f>$B$5/12*($B$9-D325)</f>
        <v>2268.473415554519</v>
      </c>
      <c r="C328" s="96">
        <f>MIN($B$13-B328,MAX(0,$B$9-C326))</f>
        <v>3179.750595618478</v>
      </c>
      <c r="D328" s="96">
        <f>D325+C328</f>
        <v>439895.58783037076</v>
      </c>
      <c r="E328" s="26"/>
      <c r="F328" s="99"/>
      <c r="G328" s="95"/>
      <c r="H328" s="95"/>
      <c r="I328" s="95"/>
      <c r="J328" s="133"/>
      <c r="K328" s="95"/>
    </row>
    <row r="329" spans="1:11" ht="12.75" hidden="1">
      <c r="A329" s="21" t="s">
        <v>4</v>
      </c>
      <c r="B329" s="95">
        <f aca="true" t="shared" si="66" ref="B329:B339">$B$5/12*($B$9-D328)</f>
        <v>2250.5873184541647</v>
      </c>
      <c r="C329" s="96">
        <f>MIN($B$13-B329,MAX(0,$B$9-D328))</f>
        <v>3197.6366927188324</v>
      </c>
      <c r="D329" s="96">
        <f aca="true" t="shared" si="67" ref="D329:D339">D328+C329</f>
        <v>443093.2245230896</v>
      </c>
      <c r="E329" s="26"/>
      <c r="F329" s="99"/>
      <c r="G329" s="95"/>
      <c r="H329" s="95"/>
      <c r="I329" s="95"/>
      <c r="J329" s="133"/>
      <c r="K329" s="95"/>
    </row>
    <row r="330" spans="1:11" ht="12.75" hidden="1">
      <c r="A330" s="21" t="s">
        <v>5</v>
      </c>
      <c r="B330" s="95">
        <f t="shared" si="66"/>
        <v>2232.600612057621</v>
      </c>
      <c r="C330" s="96">
        <f aca="true" t="shared" si="68" ref="C330:C339">MIN($B$13-B330,MAX(0,$B$9-D329))</f>
        <v>3215.623399115376</v>
      </c>
      <c r="D330" s="96">
        <f t="shared" si="67"/>
        <v>446308.847922205</v>
      </c>
      <c r="E330" s="26"/>
      <c r="F330" s="99"/>
      <c r="G330" s="95"/>
      <c r="H330" s="95"/>
      <c r="I330" s="95"/>
      <c r="J330" s="133"/>
      <c r="K330" s="95"/>
    </row>
    <row r="331" spans="1:11" ht="12.75" hidden="1">
      <c r="A331" s="21" t="s">
        <v>6</v>
      </c>
      <c r="B331" s="95">
        <f t="shared" si="66"/>
        <v>2214.5127304375974</v>
      </c>
      <c r="C331" s="96">
        <f t="shared" si="68"/>
        <v>3233.7112807353997</v>
      </c>
      <c r="D331" s="96">
        <f t="shared" si="67"/>
        <v>449542.5592029404</v>
      </c>
      <c r="E331" s="26"/>
      <c r="F331" s="99"/>
      <c r="G331" s="95"/>
      <c r="H331" s="95"/>
      <c r="I331" s="95"/>
      <c r="J331" s="133"/>
      <c r="K331" s="95"/>
    </row>
    <row r="332" spans="1:11" ht="12.75" hidden="1">
      <c r="A332" s="21" t="s">
        <v>7</v>
      </c>
      <c r="B332" s="95">
        <f t="shared" si="66"/>
        <v>2196.3231044834606</v>
      </c>
      <c r="C332" s="96">
        <f t="shared" si="68"/>
        <v>3251.9009066895364</v>
      </c>
      <c r="D332" s="96">
        <f t="shared" si="67"/>
        <v>452794.4601096299</v>
      </c>
      <c r="E332" s="26"/>
      <c r="F332" s="99"/>
      <c r="G332" s="95"/>
      <c r="H332" s="95"/>
      <c r="I332" s="95"/>
      <c r="J332" s="133"/>
      <c r="K332" s="95"/>
    </row>
    <row r="333" spans="1:11" ht="12.75" hidden="1">
      <c r="A333" s="21" t="s">
        <v>8</v>
      </c>
      <c r="B333" s="95">
        <f t="shared" si="66"/>
        <v>2178.031161883332</v>
      </c>
      <c r="C333" s="96">
        <f t="shared" si="68"/>
        <v>3270.192849289665</v>
      </c>
      <c r="D333" s="96">
        <f t="shared" si="67"/>
        <v>456064.6529589196</v>
      </c>
      <c r="E333" s="26"/>
      <c r="F333" s="99"/>
      <c r="G333" s="95"/>
      <c r="H333" s="95"/>
      <c r="I333" s="95"/>
      <c r="J333" s="133"/>
      <c r="K333" s="95"/>
    </row>
    <row r="334" spans="1:11" ht="12.75" hidden="1">
      <c r="A334" s="21" t="s">
        <v>9</v>
      </c>
      <c r="B334" s="95">
        <f t="shared" si="66"/>
        <v>2159.6363271060777</v>
      </c>
      <c r="C334" s="96">
        <f t="shared" si="68"/>
        <v>3288.5876840669193</v>
      </c>
      <c r="D334" s="96">
        <f t="shared" si="67"/>
        <v>459353.2406429865</v>
      </c>
      <c r="E334" s="26"/>
      <c r="F334" s="99"/>
      <c r="G334" s="95"/>
      <c r="H334" s="95"/>
      <c r="I334" s="95"/>
      <c r="J334" s="133"/>
      <c r="K334" s="95"/>
    </row>
    <row r="335" spans="1:11" ht="12.75" hidden="1">
      <c r="A335" s="21" t="s">
        <v>10</v>
      </c>
      <c r="B335" s="95">
        <f t="shared" si="66"/>
        <v>2141.1380213832012</v>
      </c>
      <c r="C335" s="96">
        <f t="shared" si="68"/>
        <v>3307.085989789796</v>
      </c>
      <c r="D335" s="96">
        <f t="shared" si="67"/>
        <v>462660.3266327763</v>
      </c>
      <c r="E335" s="26"/>
      <c r="F335" s="99"/>
      <c r="G335" s="95"/>
      <c r="H335" s="95"/>
      <c r="I335" s="95"/>
      <c r="J335" s="133"/>
      <c r="K335" s="95"/>
    </row>
    <row r="336" spans="1:11" ht="12.75" hidden="1">
      <c r="A336" s="21" t="s">
        <v>11</v>
      </c>
      <c r="B336" s="95">
        <f t="shared" si="66"/>
        <v>2122.5356626906337</v>
      </c>
      <c r="C336" s="96">
        <f t="shared" si="68"/>
        <v>3325.6883484823634</v>
      </c>
      <c r="D336" s="96">
        <f t="shared" si="67"/>
        <v>465986.01498125866</v>
      </c>
      <c r="E336" s="26"/>
      <c r="F336" s="99"/>
      <c r="G336" s="95"/>
      <c r="H336" s="95"/>
      <c r="I336" s="95"/>
      <c r="J336" s="133"/>
      <c r="K336" s="95"/>
    </row>
    <row r="337" spans="1:11" ht="12.75" hidden="1">
      <c r="A337" s="21" t="s">
        <v>12</v>
      </c>
      <c r="B337" s="95">
        <f t="shared" si="66"/>
        <v>2103.82866573042</v>
      </c>
      <c r="C337" s="96">
        <f t="shared" si="68"/>
        <v>3344.395345442577</v>
      </c>
      <c r="D337" s="96">
        <f t="shared" si="67"/>
        <v>469330.41032670124</v>
      </c>
      <c r="E337" s="26"/>
      <c r="F337" s="99"/>
      <c r="G337" s="95"/>
      <c r="H337" s="95"/>
      <c r="I337" s="95"/>
      <c r="J337" s="133"/>
      <c r="K337" s="95"/>
    </row>
    <row r="338" spans="1:11" ht="12.75" hidden="1">
      <c r="A338" s="21" t="s">
        <v>13</v>
      </c>
      <c r="B338" s="95">
        <f t="shared" si="66"/>
        <v>2085.0164419123057</v>
      </c>
      <c r="C338" s="96">
        <f t="shared" si="68"/>
        <v>3363.2075692606913</v>
      </c>
      <c r="D338" s="96">
        <f t="shared" si="67"/>
        <v>472693.6178959619</v>
      </c>
      <c r="E338" s="26"/>
      <c r="F338" s="99"/>
      <c r="G338" s="95"/>
      <c r="H338" s="95"/>
      <c r="I338" s="95"/>
      <c r="J338" s="133"/>
      <c r="K338" s="95"/>
    </row>
    <row r="339" spans="1:11" ht="12.75" hidden="1">
      <c r="A339" s="21" t="s">
        <v>14</v>
      </c>
      <c r="B339" s="95">
        <f t="shared" si="66"/>
        <v>2066.0983993352143</v>
      </c>
      <c r="C339" s="96">
        <f t="shared" si="68"/>
        <v>3382.125611837783</v>
      </c>
      <c r="D339" s="96">
        <f t="shared" si="67"/>
        <v>476075.7435077997</v>
      </c>
      <c r="E339" s="26"/>
      <c r="F339" s="99"/>
      <c r="G339" s="95"/>
      <c r="H339" s="95"/>
      <c r="I339" s="95"/>
      <c r="J339" s="133"/>
      <c r="K339" s="95"/>
    </row>
    <row r="340" spans="1:11" ht="12.75">
      <c r="A340" s="21" t="s">
        <v>29</v>
      </c>
      <c r="B340" s="95">
        <f>B326+SUM(B328:B339)</f>
        <v>1034354.0835759476</v>
      </c>
      <c r="C340" s="96">
        <f>D339</f>
        <v>476075.7435077997</v>
      </c>
      <c r="D340" s="96"/>
      <c r="E340" s="95">
        <f>MAX(0,MAX(0,((B340-B326)-MAX($M$144,$M$47*$M$89))*Fed_marginal_rate)+MAX(0,((B340-B326)-$M$158)*State_marginal_rate)-$P$47)</f>
        <v>5819.198178332781</v>
      </c>
      <c r="F340" s="99">
        <f>$B$13-E340/12+($F$4*(1-$F$11)*$B$3+$F$5+$F$6)/12</f>
        <v>6218.840829645265</v>
      </c>
      <c r="G340" s="95">
        <f>(F340-$F$14*(1+$F$15)^22)</f>
        <v>-487.52110136746614</v>
      </c>
      <c r="H340" s="95">
        <f>((FV($F$10/12,12,-G340)-12*G340)+I326*$F$10)*(1-$F$11)</f>
        <v>26593.26750426844</v>
      </c>
      <c r="I340" s="95">
        <f>12*G340+H340+I326</f>
        <v>529445.0580921524</v>
      </c>
      <c r="J340" s="133">
        <f>F340-(C340-C326)/12</f>
        <v>2938.8486402246454</v>
      </c>
      <c r="K340" s="95"/>
    </row>
    <row r="341" spans="1:11" ht="12.75">
      <c r="A341" s="130" t="s">
        <v>61</v>
      </c>
      <c r="B341" s="93"/>
      <c r="C341" s="93"/>
      <c r="D341" s="26"/>
      <c r="E341" s="26"/>
      <c r="F341" s="99"/>
      <c r="G341" s="95"/>
      <c r="H341" s="95"/>
      <c r="I341" s="95"/>
      <c r="J341" s="133"/>
      <c r="K341" s="95"/>
    </row>
    <row r="342" spans="1:11" ht="12.75" hidden="1">
      <c r="A342" s="21" t="s">
        <v>3</v>
      </c>
      <c r="B342" s="95">
        <f>$B$5/12*($B$9-D339)</f>
        <v>2047.073942768627</v>
      </c>
      <c r="C342" s="96">
        <f>MIN($B$13-B342,MAX(0,$B$9-C340))</f>
        <v>3401.1500684043704</v>
      </c>
      <c r="D342" s="96">
        <f>D339+C342</f>
        <v>479476.8935762041</v>
      </c>
      <c r="E342" s="26"/>
      <c r="F342" s="99"/>
      <c r="G342" s="95"/>
      <c r="H342" s="95"/>
      <c r="I342" s="95"/>
      <c r="J342" s="133"/>
      <c r="K342" s="95"/>
    </row>
    <row r="343" spans="1:11" ht="12.75" hidden="1">
      <c r="A343" s="21" t="s">
        <v>4</v>
      </c>
      <c r="B343" s="95">
        <f aca="true" t="shared" si="69" ref="B343:B353">$B$5/12*($B$9-D342)</f>
        <v>2027.9424736338524</v>
      </c>
      <c r="C343" s="96">
        <f>MIN($B$13-B343,MAX(0,$B$9-D342))</f>
        <v>3420.2815375391447</v>
      </c>
      <c r="D343" s="96">
        <f aca="true" t="shared" si="70" ref="D343:D353">D342+C343</f>
        <v>482897.17511374323</v>
      </c>
      <c r="E343" s="26"/>
      <c r="F343" s="99"/>
      <c r="G343" s="95"/>
      <c r="H343" s="95"/>
      <c r="I343" s="95"/>
      <c r="J343" s="133"/>
      <c r="K343" s="95"/>
    </row>
    <row r="344" spans="1:11" ht="12.75" hidden="1">
      <c r="A344" s="21" t="s">
        <v>5</v>
      </c>
      <c r="B344" s="95">
        <f t="shared" si="69"/>
        <v>2008.7033899851945</v>
      </c>
      <c r="C344" s="96">
        <f aca="true" t="shared" si="71" ref="C344:C353">MIN($B$13-B344,MAX(0,$B$9-D343))</f>
        <v>3439.5206211878026</v>
      </c>
      <c r="D344" s="96">
        <f t="shared" si="70"/>
        <v>486336.69573493104</v>
      </c>
      <c r="E344" s="26"/>
      <c r="F344" s="99"/>
      <c r="G344" s="95"/>
      <c r="H344" s="95"/>
      <c r="I344" s="95"/>
      <c r="J344" s="133"/>
      <c r="K344" s="95"/>
    </row>
    <row r="345" spans="1:11" ht="12.75" hidden="1">
      <c r="A345" s="21" t="s">
        <v>6</v>
      </c>
      <c r="B345" s="95">
        <f t="shared" si="69"/>
        <v>1989.3560864910132</v>
      </c>
      <c r="C345" s="96">
        <f t="shared" si="71"/>
        <v>3458.867924681984</v>
      </c>
      <c r="D345" s="96">
        <f t="shared" si="70"/>
        <v>489795.563659613</v>
      </c>
      <c r="E345" s="26"/>
      <c r="F345" s="99"/>
      <c r="G345" s="95"/>
      <c r="H345" s="95"/>
      <c r="I345" s="95"/>
      <c r="J345" s="133"/>
      <c r="K345" s="95"/>
    </row>
    <row r="346" spans="1:11" ht="12.75" hidden="1">
      <c r="A346" s="21" t="s">
        <v>7</v>
      </c>
      <c r="B346" s="95">
        <f t="shared" si="69"/>
        <v>1969.899954414677</v>
      </c>
      <c r="C346" s="96">
        <f t="shared" si="71"/>
        <v>3478.32405675832</v>
      </c>
      <c r="D346" s="96">
        <f t="shared" si="70"/>
        <v>493273.88771637133</v>
      </c>
      <c r="E346" s="26"/>
      <c r="F346" s="99"/>
      <c r="G346" s="95"/>
      <c r="H346" s="95"/>
      <c r="I346" s="95"/>
      <c r="J346" s="133"/>
      <c r="K346" s="95"/>
    </row>
    <row r="347" spans="1:11" ht="12.75" hidden="1">
      <c r="A347" s="21" t="s">
        <v>8</v>
      </c>
      <c r="B347" s="95">
        <f t="shared" si="69"/>
        <v>1950.3343815954115</v>
      </c>
      <c r="C347" s="96">
        <f t="shared" si="71"/>
        <v>3497.8896295775858</v>
      </c>
      <c r="D347" s="96">
        <f t="shared" si="70"/>
        <v>496771.7773459489</v>
      </c>
      <c r="E347" s="26"/>
      <c r="F347" s="99"/>
      <c r="G347" s="95"/>
      <c r="H347" s="95"/>
      <c r="I347" s="95"/>
      <c r="J347" s="133"/>
      <c r="K347" s="95"/>
    </row>
    <row r="348" spans="1:11" ht="12.75" hidden="1">
      <c r="A348" s="21" t="s">
        <v>9</v>
      </c>
      <c r="B348" s="95">
        <f t="shared" si="69"/>
        <v>1930.6587524290376</v>
      </c>
      <c r="C348" s="96">
        <f t="shared" si="71"/>
        <v>3517.5652587439595</v>
      </c>
      <c r="D348" s="96">
        <f t="shared" si="70"/>
        <v>500289.34260469285</v>
      </c>
      <c r="E348" s="26"/>
      <c r="F348" s="99"/>
      <c r="G348" s="95"/>
      <c r="H348" s="95"/>
      <c r="I348" s="95"/>
      <c r="J348" s="133"/>
      <c r="K348" s="95"/>
    </row>
    <row r="349" spans="1:11" ht="12.75" hidden="1">
      <c r="A349" s="21" t="s">
        <v>10</v>
      </c>
      <c r="B349" s="95">
        <f t="shared" si="69"/>
        <v>1910.8724478486029</v>
      </c>
      <c r="C349" s="96">
        <f t="shared" si="71"/>
        <v>3537.351563324394</v>
      </c>
      <c r="D349" s="96">
        <f t="shared" si="70"/>
        <v>503826.69416801725</v>
      </c>
      <c r="E349" s="26"/>
      <c r="F349" s="99"/>
      <c r="G349" s="95"/>
      <c r="H349" s="95"/>
      <c r="I349" s="95"/>
      <c r="J349" s="133"/>
      <c r="K349" s="95"/>
    </row>
    <row r="350" spans="1:11" ht="12.75" hidden="1">
      <c r="A350" s="21" t="s">
        <v>11</v>
      </c>
      <c r="B350" s="95">
        <f t="shared" si="69"/>
        <v>1890.9748453049033</v>
      </c>
      <c r="C350" s="96">
        <f t="shared" si="71"/>
        <v>3557.2491658680938</v>
      </c>
      <c r="D350" s="96">
        <f t="shared" si="70"/>
        <v>507383.94333388534</v>
      </c>
      <c r="E350" s="26"/>
      <c r="F350" s="99"/>
      <c r="G350" s="95"/>
      <c r="H350" s="95"/>
      <c r="I350" s="95"/>
      <c r="J350" s="133"/>
      <c r="K350" s="95"/>
    </row>
    <row r="351" spans="1:11" ht="12.75" hidden="1">
      <c r="A351" s="21" t="s">
        <v>12</v>
      </c>
      <c r="B351" s="95">
        <f t="shared" si="69"/>
        <v>1870.9653187468953</v>
      </c>
      <c r="C351" s="96">
        <f t="shared" si="71"/>
        <v>3577.258692426102</v>
      </c>
      <c r="D351" s="96">
        <f t="shared" si="70"/>
        <v>510961.2020263114</v>
      </c>
      <c r="E351" s="26"/>
      <c r="F351" s="99"/>
      <c r="G351" s="95"/>
      <c r="H351" s="95"/>
      <c r="I351" s="95"/>
      <c r="J351" s="133"/>
      <c r="K351" s="95"/>
    </row>
    <row r="352" spans="1:11" ht="12.75" hidden="1">
      <c r="A352" s="21" t="s">
        <v>13</v>
      </c>
      <c r="B352" s="95">
        <f t="shared" si="69"/>
        <v>1850.8432386019986</v>
      </c>
      <c r="C352" s="96">
        <f t="shared" si="71"/>
        <v>3597.3807725709985</v>
      </c>
      <c r="D352" s="96">
        <f t="shared" si="70"/>
        <v>514558.58279888245</v>
      </c>
      <c r="E352" s="26"/>
      <c r="F352" s="99"/>
      <c r="G352" s="95"/>
      <c r="H352" s="95"/>
      <c r="I352" s="95"/>
      <c r="J352" s="133"/>
      <c r="K352" s="95"/>
    </row>
    <row r="353" spans="1:11" ht="12.75" hidden="1">
      <c r="A353" s="21" t="s">
        <v>14</v>
      </c>
      <c r="B353" s="95">
        <f t="shared" si="69"/>
        <v>1830.6079717562864</v>
      </c>
      <c r="C353" s="96">
        <f t="shared" si="71"/>
        <v>3617.616039416711</v>
      </c>
      <c r="D353" s="96">
        <f t="shared" si="70"/>
        <v>518176.19883829914</v>
      </c>
      <c r="E353" s="26"/>
      <c r="F353" s="99"/>
      <c r="G353" s="95"/>
      <c r="H353" s="95"/>
      <c r="I353" s="95"/>
      <c r="J353" s="133"/>
      <c r="K353" s="95"/>
    </row>
    <row r="354" spans="1:11" ht="12.75">
      <c r="A354" s="21" t="s">
        <v>29</v>
      </c>
      <c r="B354" s="95">
        <f>B340+SUM(B342:B353)</f>
        <v>1057632.316379524</v>
      </c>
      <c r="C354" s="96">
        <f>D353</f>
        <v>518176.19883829914</v>
      </c>
      <c r="D354" s="96"/>
      <c r="E354" s="95">
        <f>MAX(0,MAX(0,((B354-B340)-MAX($M$144,$M$47*$M$89))*Fed_marginal_rate)+MAX(0,((B354-B340)-$M$158)*State_marginal_rate)-$P$47)</f>
        <v>4879.189851626743</v>
      </c>
      <c r="F354" s="99">
        <f>$B$13-E354/12+($F$4*(1-$F$11)*$B$3+$F$5+$F$6)/12</f>
        <v>6297.174856870769</v>
      </c>
      <c r="G354" s="95">
        <f>(F354-$F$14*(1+$F$15)^23)</f>
        <v>-610.3779320723452</v>
      </c>
      <c r="H354" s="95">
        <f>((FV($F$10/12,12,-G354)-12*G354)+I340*$F$10)*(1-$F$11)</f>
        <v>27647.203684588527</v>
      </c>
      <c r="I354" s="95">
        <f>12*G354+H354+I340</f>
        <v>549767.7265918727</v>
      </c>
      <c r="J354" s="133">
        <f>F354-(C354-C340)/12</f>
        <v>2788.8035793291483</v>
      </c>
      <c r="K354" s="95"/>
    </row>
    <row r="355" spans="1:11" ht="12.75">
      <c r="A355" s="130" t="s">
        <v>62</v>
      </c>
      <c r="B355" s="93"/>
      <c r="C355" s="93"/>
      <c r="D355" s="26"/>
      <c r="E355" s="26"/>
      <c r="F355" s="99"/>
      <c r="G355" s="95"/>
      <c r="H355" s="95"/>
      <c r="I355" s="95"/>
      <c r="J355" s="133"/>
      <c r="K355" s="95"/>
    </row>
    <row r="356" spans="1:11" ht="12.75" hidden="1">
      <c r="A356" s="21" t="s">
        <v>3</v>
      </c>
      <c r="B356" s="95">
        <f>$B$5/12*($B$9-D353)</f>
        <v>1810.2588815345675</v>
      </c>
      <c r="C356" s="96">
        <f>MIN($B$13-B356,MAX(0,$B$9-C354))</f>
        <v>3637.9651296384295</v>
      </c>
      <c r="D356" s="96">
        <f>D353+C356</f>
        <v>521814.1639679376</v>
      </c>
      <c r="E356" s="26"/>
      <c r="F356" s="99"/>
      <c r="G356" s="95"/>
      <c r="H356" s="95"/>
      <c r="I356" s="95"/>
      <c r="J356" s="133"/>
      <c r="K356" s="95"/>
    </row>
    <row r="357" spans="1:11" ht="12.75" hidden="1">
      <c r="A357" s="21" t="s">
        <v>4</v>
      </c>
      <c r="B357" s="95">
        <f aca="true" t="shared" si="72" ref="B357:B367">$B$5/12*($B$9-D356)</f>
        <v>1789.7953276803514</v>
      </c>
      <c r="C357" s="96">
        <f>MIN($B$13-B357,MAX(0,$B$9-D356))</f>
        <v>3658.4286834926456</v>
      </c>
      <c r="D357" s="96">
        <f aca="true" t="shared" si="73" ref="D357:D367">D356+C357</f>
        <v>525472.5926514302</v>
      </c>
      <c r="E357" s="26"/>
      <c r="F357" s="99"/>
      <c r="G357" s="95"/>
      <c r="H357" s="95"/>
      <c r="I357" s="95"/>
      <c r="J357" s="133"/>
      <c r="K357" s="95"/>
    </row>
    <row r="358" spans="1:11" ht="12.75" hidden="1">
      <c r="A358" s="21" t="s">
        <v>5</v>
      </c>
      <c r="B358" s="95">
        <f t="shared" si="72"/>
        <v>1769.2166663357054</v>
      </c>
      <c r="C358" s="96">
        <f aca="true" t="shared" si="74" ref="C358:C367">MIN($B$13-B358,MAX(0,$B$9-D357))</f>
        <v>3679.0073448372914</v>
      </c>
      <c r="D358" s="96">
        <f t="shared" si="73"/>
        <v>529151.5999962675</v>
      </c>
      <c r="E358" s="26"/>
      <c r="F358" s="99"/>
      <c r="G358" s="95"/>
      <c r="H358" s="95"/>
      <c r="I358" s="95"/>
      <c r="J358" s="133"/>
      <c r="K358" s="95"/>
    </row>
    <row r="359" spans="1:11" ht="12.75" hidden="1">
      <c r="A359" s="21" t="s">
        <v>6</v>
      </c>
      <c r="B359" s="95">
        <f t="shared" si="72"/>
        <v>1748.5222500209957</v>
      </c>
      <c r="C359" s="96">
        <f t="shared" si="74"/>
        <v>3699.7017611520014</v>
      </c>
      <c r="D359" s="96">
        <f t="shared" si="73"/>
        <v>532851.3017574195</v>
      </c>
      <c r="E359" s="26"/>
      <c r="F359" s="99"/>
      <c r="G359" s="95"/>
      <c r="H359" s="95"/>
      <c r="I359" s="95"/>
      <c r="J359" s="133"/>
      <c r="K359" s="95"/>
    </row>
    <row r="360" spans="1:11" ht="12.75" hidden="1">
      <c r="A360" s="21" t="s">
        <v>7</v>
      </c>
      <c r="B360" s="95">
        <f t="shared" si="72"/>
        <v>1727.7114276145155</v>
      </c>
      <c r="C360" s="96">
        <f t="shared" si="74"/>
        <v>3720.5125835584813</v>
      </c>
      <c r="D360" s="96">
        <f t="shared" si="73"/>
        <v>536571.8143409779</v>
      </c>
      <c r="E360" s="26"/>
      <c r="F360" s="99"/>
      <c r="G360" s="95"/>
      <c r="H360" s="95"/>
      <c r="I360" s="95"/>
      <c r="J360" s="133"/>
      <c r="K360" s="95"/>
    </row>
    <row r="361" spans="1:11" ht="12.75" hidden="1">
      <c r="A361" s="21" t="s">
        <v>8</v>
      </c>
      <c r="B361" s="95">
        <f t="shared" si="72"/>
        <v>1706.7835443319993</v>
      </c>
      <c r="C361" s="96">
        <f t="shared" si="74"/>
        <v>3741.440466840998</v>
      </c>
      <c r="D361" s="96">
        <f t="shared" si="73"/>
        <v>540313.2548078189</v>
      </c>
      <c r="E361" s="26"/>
      <c r="F361" s="99"/>
      <c r="G361" s="95"/>
      <c r="H361" s="95"/>
      <c r="I361" s="95"/>
      <c r="J361" s="133"/>
      <c r="K361" s="95"/>
    </row>
    <row r="362" spans="1:11" ht="12.75" hidden="1">
      <c r="A362" s="21" t="s">
        <v>9</v>
      </c>
      <c r="B362" s="95">
        <f t="shared" si="72"/>
        <v>1685.7379417060188</v>
      </c>
      <c r="C362" s="96">
        <f t="shared" si="74"/>
        <v>3762.4860694669783</v>
      </c>
      <c r="D362" s="96">
        <f t="shared" si="73"/>
        <v>544075.740877286</v>
      </c>
      <c r="E362" s="26"/>
      <c r="F362" s="99"/>
      <c r="G362" s="95"/>
      <c r="H362" s="95"/>
      <c r="I362" s="95"/>
      <c r="J362" s="133"/>
      <c r="K362" s="95"/>
    </row>
    <row r="363" spans="1:11" ht="12.75" hidden="1">
      <c r="A363" s="21" t="s">
        <v>10</v>
      </c>
      <c r="B363" s="95">
        <f t="shared" si="72"/>
        <v>1664.5739575652667</v>
      </c>
      <c r="C363" s="96">
        <f t="shared" si="74"/>
        <v>3783.65005360773</v>
      </c>
      <c r="D363" s="96">
        <f t="shared" si="73"/>
        <v>547859.3909308937</v>
      </c>
      <c r="E363" s="26"/>
      <c r="F363" s="99"/>
      <c r="G363" s="95"/>
      <c r="H363" s="95"/>
      <c r="I363" s="95"/>
      <c r="J363" s="133"/>
      <c r="K363" s="95"/>
    </row>
    <row r="364" spans="1:11" ht="12.75" hidden="1">
      <c r="A364" s="21" t="s">
        <v>11</v>
      </c>
      <c r="B364" s="95">
        <f t="shared" si="72"/>
        <v>1643.290926013723</v>
      </c>
      <c r="C364" s="96">
        <f t="shared" si="74"/>
        <v>3804.933085159274</v>
      </c>
      <c r="D364" s="96">
        <f t="shared" si="73"/>
        <v>551664.324016053</v>
      </c>
      <c r="E364" s="26"/>
      <c r="F364" s="99"/>
      <c r="G364" s="95"/>
      <c r="H364" s="95"/>
      <c r="I364" s="95"/>
      <c r="J364" s="133"/>
      <c r="K364" s="95"/>
    </row>
    <row r="365" spans="1:11" ht="12.75" hidden="1">
      <c r="A365" s="21" t="s">
        <v>12</v>
      </c>
      <c r="B365" s="95">
        <f t="shared" si="72"/>
        <v>1621.8881774097022</v>
      </c>
      <c r="C365" s="96">
        <f t="shared" si="74"/>
        <v>3826.335833763295</v>
      </c>
      <c r="D365" s="96">
        <f t="shared" si="73"/>
        <v>555490.6598498162</v>
      </c>
      <c r="E365" s="26"/>
      <c r="F365" s="99"/>
      <c r="G365" s="95"/>
      <c r="H365" s="95"/>
      <c r="I365" s="95"/>
      <c r="J365" s="133"/>
      <c r="K365" s="95"/>
    </row>
    <row r="366" spans="1:11" ht="12.75" hidden="1">
      <c r="A366" s="21" t="s">
        <v>13</v>
      </c>
      <c r="B366" s="95">
        <f t="shared" si="72"/>
        <v>1600.365038344784</v>
      </c>
      <c r="C366" s="96">
        <f t="shared" si="74"/>
        <v>3847.858972828213</v>
      </c>
      <c r="D366" s="96">
        <f t="shared" si="73"/>
        <v>559338.5188226445</v>
      </c>
      <c r="E366" s="26"/>
      <c r="F366" s="99"/>
      <c r="G366" s="95"/>
      <c r="H366" s="95"/>
      <c r="I366" s="95"/>
      <c r="J366" s="133"/>
      <c r="K366" s="95"/>
    </row>
    <row r="367" spans="1:11" ht="12.75" hidden="1">
      <c r="A367" s="21" t="s">
        <v>14</v>
      </c>
      <c r="B367" s="95">
        <f t="shared" si="72"/>
        <v>1578.720831622625</v>
      </c>
      <c r="C367" s="96">
        <f t="shared" si="74"/>
        <v>3869.503179550372</v>
      </c>
      <c r="D367" s="96">
        <f t="shared" si="73"/>
        <v>563208.0220021949</v>
      </c>
      <c r="E367" s="26"/>
      <c r="F367" s="99"/>
      <c r="G367" s="95"/>
      <c r="H367" s="95"/>
      <c r="I367" s="95"/>
      <c r="J367" s="133"/>
      <c r="K367" s="95"/>
    </row>
    <row r="368" spans="1:11" ht="12.75">
      <c r="A368" s="21" t="s">
        <v>29</v>
      </c>
      <c r="B368" s="95">
        <f>B354+SUM(B356:B367)</f>
        <v>1077979.1813497043</v>
      </c>
      <c r="C368" s="96">
        <f>D367</f>
        <v>563208.0220021949</v>
      </c>
      <c r="D368" s="96"/>
      <c r="E368" s="95">
        <f>MAX(0,MAX(0,((B368-B354)-MAX($M$144,$M$47*$M$89))*Fed_marginal_rate)+MAX(0,((B368-B354)-$M$158)*State_marginal_rate)-$P$47)</f>
        <v>3873.730684771811</v>
      </c>
      <c r="F368" s="99">
        <f>$B$13-E368/12+($F$4*(1-$F$11)*$B$3+$F$5+$F$6)/12</f>
        <v>6380.963120775346</v>
      </c>
      <c r="G368" s="95">
        <f>(F368-$F$14*(1+$F$15)^24)</f>
        <v>-733.8162518360596</v>
      </c>
      <c r="H368" s="95">
        <f>((FV($F$10/12,12,-G368)-12*G368)+I354*$F$10)*(1-$F$11)</f>
        <v>28678.87460130658</v>
      </c>
      <c r="I368" s="95">
        <f>12*G368+H368+I354</f>
        <v>569640.8061711466</v>
      </c>
      <c r="J368" s="133">
        <f>F368-(C368-C354)/12</f>
        <v>2628.3111904507005</v>
      </c>
      <c r="K368" s="95"/>
    </row>
    <row r="369" spans="1:11" ht="12.75">
      <c r="A369" s="130" t="s">
        <v>24</v>
      </c>
      <c r="B369" s="93"/>
      <c r="C369" s="93"/>
      <c r="D369" s="26"/>
      <c r="E369" s="26"/>
      <c r="F369" s="99"/>
      <c r="G369" s="95"/>
      <c r="H369" s="95"/>
      <c r="I369" s="95"/>
      <c r="J369" s="133"/>
      <c r="K369" s="95"/>
    </row>
    <row r="370" spans="1:11" ht="12.75" hidden="1">
      <c r="A370" s="21" t="s">
        <v>3</v>
      </c>
      <c r="B370" s="95">
        <f>$B$5/12*($B$9-D367)</f>
        <v>1556.954876237654</v>
      </c>
      <c r="C370" s="96">
        <f>MIN($B$13-B370,MAX(0,$B$9-C368))</f>
        <v>3891.269134935343</v>
      </c>
      <c r="D370" s="96">
        <f>D367+C370</f>
        <v>567099.2911371302</v>
      </c>
      <c r="E370" s="26"/>
      <c r="F370" s="99"/>
      <c r="G370" s="95"/>
      <c r="H370" s="95"/>
      <c r="I370" s="95"/>
      <c r="J370" s="133"/>
      <c r="K370" s="95"/>
    </row>
    <row r="371" spans="1:11" ht="12.75" hidden="1">
      <c r="A371" s="21" t="s">
        <v>4</v>
      </c>
      <c r="B371" s="95">
        <f aca="true" t="shared" si="75" ref="B371:B381">$B$5/12*($B$9-D370)</f>
        <v>1535.0664873536425</v>
      </c>
      <c r="C371" s="96">
        <f>MIN($B$13-B371,MAX(0,$B$9-D370))</f>
        <v>3913.1575238193545</v>
      </c>
      <c r="D371" s="96">
        <f aca="true" t="shared" si="76" ref="D371:D381">D370+C371</f>
        <v>571012.4486609496</v>
      </c>
      <c r="E371" s="26"/>
      <c r="F371" s="99"/>
      <c r="G371" s="95"/>
      <c r="H371" s="95"/>
      <c r="I371" s="95"/>
      <c r="J371" s="133"/>
      <c r="K371" s="95"/>
    </row>
    <row r="372" spans="1:11" ht="12.75" hidden="1">
      <c r="A372" s="21" t="s">
        <v>5</v>
      </c>
      <c r="B372" s="95">
        <f t="shared" si="75"/>
        <v>1513.0549762821588</v>
      </c>
      <c r="C372" s="96">
        <f aca="true" t="shared" si="77" ref="C372:C381">MIN($B$13-B372,MAX(0,$B$9-D371))</f>
        <v>3935.1690348908382</v>
      </c>
      <c r="D372" s="96">
        <f t="shared" si="76"/>
        <v>574947.6176958404</v>
      </c>
      <c r="E372" s="26"/>
      <c r="F372" s="99"/>
      <c r="G372" s="95"/>
      <c r="H372" s="95"/>
      <c r="I372" s="95"/>
      <c r="J372" s="133"/>
      <c r="K372" s="95"/>
    </row>
    <row r="373" spans="1:11" ht="12.75" hidden="1">
      <c r="A373" s="21" t="s">
        <v>6</v>
      </c>
      <c r="B373" s="95">
        <f t="shared" si="75"/>
        <v>1490.9196504608979</v>
      </c>
      <c r="C373" s="96">
        <f t="shared" si="77"/>
        <v>3957.304360712099</v>
      </c>
      <c r="D373" s="96">
        <f t="shared" si="76"/>
        <v>578904.9220565525</v>
      </c>
      <c r="E373" s="26"/>
      <c r="F373" s="99"/>
      <c r="G373" s="95"/>
      <c r="H373" s="95"/>
      <c r="I373" s="95"/>
      <c r="J373" s="133"/>
      <c r="K373" s="95"/>
    </row>
    <row r="374" spans="1:11" ht="12.75" hidden="1">
      <c r="A374" s="21" t="s">
        <v>7</v>
      </c>
      <c r="B374" s="95">
        <f t="shared" si="75"/>
        <v>1468.6598134318924</v>
      </c>
      <c r="C374" s="96">
        <f t="shared" si="77"/>
        <v>3979.5641977411046</v>
      </c>
      <c r="D374" s="96">
        <f t="shared" si="76"/>
        <v>582884.4862542936</v>
      </c>
      <c r="E374" s="26"/>
      <c r="F374" s="99"/>
      <c r="G374" s="95"/>
      <c r="H374" s="95"/>
      <c r="I374" s="95"/>
      <c r="J374" s="133"/>
      <c r="K374" s="95"/>
    </row>
    <row r="375" spans="1:11" ht="12.75" hidden="1">
      <c r="A375" s="21" t="s">
        <v>8</v>
      </c>
      <c r="B375" s="95">
        <f t="shared" si="75"/>
        <v>1446.2747648195987</v>
      </c>
      <c r="C375" s="96">
        <f t="shared" si="77"/>
        <v>4001.9492463533984</v>
      </c>
      <c r="D375" s="96">
        <f t="shared" si="76"/>
        <v>586886.4355006469</v>
      </c>
      <c r="E375" s="26"/>
      <c r="F375" s="99"/>
      <c r="G375" s="95"/>
      <c r="H375" s="95"/>
      <c r="I375" s="95"/>
      <c r="J375" s="133"/>
      <c r="K375" s="95"/>
    </row>
    <row r="376" spans="1:11" ht="12.75" hidden="1">
      <c r="A376" s="21" t="s">
        <v>9</v>
      </c>
      <c r="B376" s="95">
        <f t="shared" si="75"/>
        <v>1423.7638003088612</v>
      </c>
      <c r="C376" s="96">
        <f t="shared" si="77"/>
        <v>4024.4602108641357</v>
      </c>
      <c r="D376" s="96">
        <f t="shared" si="76"/>
        <v>590910.895711511</v>
      </c>
      <c r="E376" s="26"/>
      <c r="F376" s="99"/>
      <c r="G376" s="95"/>
      <c r="H376" s="95"/>
      <c r="I376" s="95"/>
      <c r="J376" s="133"/>
      <c r="K376" s="95"/>
    </row>
    <row r="377" spans="1:11" ht="12.75" hidden="1">
      <c r="A377" s="21" t="s">
        <v>10</v>
      </c>
      <c r="B377" s="95">
        <f t="shared" si="75"/>
        <v>1401.1262116227506</v>
      </c>
      <c r="C377" s="96">
        <f t="shared" si="77"/>
        <v>4047.0977995502462</v>
      </c>
      <c r="D377" s="96">
        <f t="shared" si="76"/>
        <v>594957.9935110613</v>
      </c>
      <c r="E377" s="26"/>
      <c r="F377" s="99"/>
      <c r="G377" s="95"/>
      <c r="H377" s="95"/>
      <c r="I377" s="95"/>
      <c r="J377" s="133"/>
      <c r="K377" s="95"/>
    </row>
    <row r="378" spans="1:11" ht="12.75" hidden="1">
      <c r="A378" s="21" t="s">
        <v>11</v>
      </c>
      <c r="B378" s="95">
        <f t="shared" si="75"/>
        <v>1378.3612865002804</v>
      </c>
      <c r="C378" s="96">
        <f t="shared" si="77"/>
        <v>4069.8627246727165</v>
      </c>
      <c r="D378" s="96">
        <f t="shared" si="76"/>
        <v>599027.8562357341</v>
      </c>
      <c r="E378" s="26"/>
      <c r="F378" s="99"/>
      <c r="G378" s="95"/>
      <c r="H378" s="95"/>
      <c r="I378" s="95"/>
      <c r="J378" s="133"/>
      <c r="K378" s="95"/>
    </row>
    <row r="379" spans="1:11" ht="12.75" hidden="1">
      <c r="A379" s="21" t="s">
        <v>12</v>
      </c>
      <c r="B379" s="95">
        <f t="shared" si="75"/>
        <v>1355.468308673996</v>
      </c>
      <c r="C379" s="96">
        <f t="shared" si="77"/>
        <v>4092.755702499001</v>
      </c>
      <c r="D379" s="96">
        <f t="shared" si="76"/>
        <v>603120.611938233</v>
      </c>
      <c r="E379" s="26"/>
      <c r="F379" s="99"/>
      <c r="G379" s="95"/>
      <c r="H379" s="95"/>
      <c r="I379" s="95"/>
      <c r="J379" s="133"/>
      <c r="K379" s="95"/>
    </row>
    <row r="380" spans="1:11" ht="12.75" hidden="1">
      <c r="A380" s="21" t="s">
        <v>13</v>
      </c>
      <c r="B380" s="95">
        <f t="shared" si="75"/>
        <v>1332.4465578474394</v>
      </c>
      <c r="C380" s="96">
        <f t="shared" si="77"/>
        <v>4115.777453325558</v>
      </c>
      <c r="D380" s="96">
        <f t="shared" si="76"/>
        <v>607236.3893915586</v>
      </c>
      <c r="E380" s="26"/>
      <c r="F380" s="99"/>
      <c r="G380" s="95"/>
      <c r="H380" s="95"/>
      <c r="I380" s="95"/>
      <c r="J380" s="133"/>
      <c r="K380" s="95"/>
    </row>
    <row r="381" spans="1:11" ht="12.75" hidden="1">
      <c r="A381" s="21" t="s">
        <v>14</v>
      </c>
      <c r="B381" s="95">
        <f t="shared" si="75"/>
        <v>1309.295309672483</v>
      </c>
      <c r="C381" s="96">
        <f t="shared" si="77"/>
        <v>4138.928701500514</v>
      </c>
      <c r="D381" s="96">
        <f t="shared" si="76"/>
        <v>611375.3180930591</v>
      </c>
      <c r="E381" s="26"/>
      <c r="F381" s="99"/>
      <c r="G381" s="95"/>
      <c r="H381" s="95"/>
      <c r="I381" s="95"/>
      <c r="J381" s="133"/>
      <c r="K381" s="95"/>
    </row>
    <row r="382" spans="1:11" ht="12.75">
      <c r="A382" s="21" t="s">
        <v>29</v>
      </c>
      <c r="B382" s="95">
        <f>B368+SUM(B370:B381)</f>
        <v>1095190.573392916</v>
      </c>
      <c r="C382" s="96">
        <f>D381</f>
        <v>611375.3180930591</v>
      </c>
      <c r="D382" s="96"/>
      <c r="E382" s="95">
        <f>MAX(0,MAX(0,((B382-B368)-MAX($M$144,$M$47*$M$89))*Fed_marginal_rate)+MAX(0,((B382-B368)-$M$158)*State_marginal_rate)-$P$47)</f>
        <v>2798.2634708216233</v>
      </c>
      <c r="F382" s="99">
        <f>$B$13-E382/12+($F$4*(1-$F$11)*$B$3+$F$5+$F$6)/12</f>
        <v>6470.585388604529</v>
      </c>
      <c r="G382" s="95">
        <f>(F382-$F$14*(1+$F$15)^25)</f>
        <v>-857.63736518522</v>
      </c>
      <c r="H382" s="95">
        <f>((FV($F$10/12,12,-G382)-12*G382)+I368*$F$10)*(1-$F$11)</f>
        <v>29686.801970047778</v>
      </c>
      <c r="I382" s="95">
        <f>12*G382+H382+I368</f>
        <v>589035.9597589717</v>
      </c>
      <c r="J382" s="133">
        <f>F382-(C382-C368)/12</f>
        <v>2456.6440476991766</v>
      </c>
      <c r="K382" s="95"/>
    </row>
    <row r="383" spans="1:11" ht="12.75">
      <c r="A383" s="130" t="s">
        <v>25</v>
      </c>
      <c r="B383" s="93"/>
      <c r="C383" s="93"/>
      <c r="D383" s="26"/>
      <c r="E383" s="26"/>
      <c r="F383" s="99"/>
      <c r="G383" s="95"/>
      <c r="H383" s="95"/>
      <c r="I383" s="95"/>
      <c r="J383" s="133"/>
      <c r="K383" s="95"/>
    </row>
    <row r="384" spans="1:11" ht="12.75" hidden="1">
      <c r="A384" s="21" t="s">
        <v>3</v>
      </c>
      <c r="B384" s="95">
        <f>$B$5/12*($B$9-D381)</f>
        <v>1286.0138357265425</v>
      </c>
      <c r="C384" s="96">
        <f>MIN($B$13-B384,MAX(0,$B$9-C382))</f>
        <v>4162.210175446455</v>
      </c>
      <c r="D384" s="96">
        <f>D381+C384</f>
        <v>615537.5282685056</v>
      </c>
      <c r="E384" s="26"/>
      <c r="F384" s="99"/>
      <c r="G384" s="95"/>
      <c r="H384" s="95"/>
      <c r="I384" s="95"/>
      <c r="J384" s="133"/>
      <c r="K384" s="95"/>
    </row>
    <row r="385" spans="1:11" ht="12.75" hidden="1">
      <c r="A385" s="21" t="s">
        <v>4</v>
      </c>
      <c r="B385" s="95">
        <f aca="true" t="shared" si="78" ref="B385:B395">$B$5/12*($B$9-D384)</f>
        <v>1262.6014034896561</v>
      </c>
      <c r="C385" s="96">
        <f>MIN($B$13-B385,MAX(0,$B$9-D384))</f>
        <v>4185.622607683341</v>
      </c>
      <c r="D385" s="96">
        <f aca="true" t="shared" si="79" ref="D385:D395">D384+C385</f>
        <v>619723.1508761889</v>
      </c>
      <c r="E385" s="26"/>
      <c r="F385" s="99"/>
      <c r="G385" s="95"/>
      <c r="H385" s="95"/>
      <c r="I385" s="95"/>
      <c r="J385" s="133"/>
      <c r="K385" s="95"/>
    </row>
    <row r="386" spans="1:11" ht="12.75" hidden="1">
      <c r="A386" s="21" t="s">
        <v>5</v>
      </c>
      <c r="B386" s="95">
        <f t="shared" si="78"/>
        <v>1239.0572763214377</v>
      </c>
      <c r="C386" s="96">
        <f aca="true" t="shared" si="80" ref="C386:C395">MIN($B$13-B386,MAX(0,$B$9-D385))</f>
        <v>4209.166734851559</v>
      </c>
      <c r="D386" s="96">
        <f t="shared" si="79"/>
        <v>623932.3176110404</v>
      </c>
      <c r="E386" s="26"/>
      <c r="F386" s="99"/>
      <c r="G386" s="95"/>
      <c r="H386" s="95"/>
      <c r="I386" s="95"/>
      <c r="J386" s="133"/>
      <c r="K386" s="95"/>
    </row>
    <row r="387" spans="1:11" ht="12.75" hidden="1">
      <c r="A387" s="21" t="s">
        <v>6</v>
      </c>
      <c r="B387" s="95">
        <f t="shared" si="78"/>
        <v>1215.3807134378976</v>
      </c>
      <c r="C387" s="96">
        <f t="shared" si="80"/>
        <v>4232.843297735099</v>
      </c>
      <c r="D387" s="96">
        <f t="shared" si="79"/>
        <v>628165.1609087755</v>
      </c>
      <c r="E387" s="26"/>
      <c r="F387" s="99"/>
      <c r="G387" s="95"/>
      <c r="H387" s="95"/>
      <c r="I387" s="95"/>
      <c r="J387" s="133"/>
      <c r="K387" s="95"/>
    </row>
    <row r="388" spans="1:11" ht="12.75" hidden="1">
      <c r="A388" s="21" t="s">
        <v>7</v>
      </c>
      <c r="B388" s="95">
        <f t="shared" si="78"/>
        <v>1191.5709698881378</v>
      </c>
      <c r="C388" s="96">
        <f t="shared" si="80"/>
        <v>4256.653041284859</v>
      </c>
      <c r="D388" s="96">
        <f t="shared" si="79"/>
        <v>632421.8139500604</v>
      </c>
      <c r="E388" s="26"/>
      <c r="F388" s="99"/>
      <c r="G388" s="95"/>
      <c r="H388" s="95"/>
      <c r="I388" s="95"/>
      <c r="J388" s="133"/>
      <c r="K388" s="95"/>
    </row>
    <row r="389" spans="1:11" ht="12.75" hidden="1">
      <c r="A389" s="21" t="s">
        <v>8</v>
      </c>
      <c r="B389" s="95">
        <f t="shared" si="78"/>
        <v>1167.6272965309104</v>
      </c>
      <c r="C389" s="96">
        <f t="shared" si="80"/>
        <v>4280.596714642086</v>
      </c>
      <c r="D389" s="96">
        <f t="shared" si="79"/>
        <v>636702.4106647025</v>
      </c>
      <c r="E389" s="26"/>
      <c r="F389" s="99"/>
      <c r="G389" s="95"/>
      <c r="H389" s="95"/>
      <c r="I389" s="95"/>
      <c r="J389" s="133"/>
      <c r="K389" s="95"/>
    </row>
    <row r="390" spans="1:11" ht="12.75" hidden="1">
      <c r="A390" s="21" t="s">
        <v>9</v>
      </c>
      <c r="B390" s="95">
        <f t="shared" si="78"/>
        <v>1143.5489400110484</v>
      </c>
      <c r="C390" s="96">
        <f t="shared" si="80"/>
        <v>4304.675071161949</v>
      </c>
      <c r="D390" s="96">
        <f t="shared" si="79"/>
        <v>641007.0857358645</v>
      </c>
      <c r="E390" s="26"/>
      <c r="F390" s="99"/>
      <c r="G390" s="95"/>
      <c r="H390" s="95"/>
      <c r="I390" s="95"/>
      <c r="J390" s="133"/>
      <c r="K390" s="95"/>
    </row>
    <row r="391" spans="1:11" ht="12.75" hidden="1">
      <c r="A391" s="21" t="s">
        <v>10</v>
      </c>
      <c r="B391" s="95">
        <f t="shared" si="78"/>
        <v>1119.3351427357625</v>
      </c>
      <c r="C391" s="96">
        <f t="shared" si="80"/>
        <v>4328.888868437234</v>
      </c>
      <c r="D391" s="96">
        <f t="shared" si="79"/>
        <v>645335.9746043017</v>
      </c>
      <c r="E391" s="26"/>
      <c r="F391" s="99"/>
      <c r="G391" s="95"/>
      <c r="H391" s="95"/>
      <c r="I391" s="95"/>
      <c r="J391" s="133"/>
      <c r="K391" s="95"/>
    </row>
    <row r="392" spans="1:11" ht="12.75" hidden="1">
      <c r="A392" s="21" t="s">
        <v>11</v>
      </c>
      <c r="B392" s="95">
        <f t="shared" si="78"/>
        <v>1094.985142850803</v>
      </c>
      <c r="C392" s="96">
        <f t="shared" si="80"/>
        <v>4353.238868322194</v>
      </c>
      <c r="D392" s="96">
        <f t="shared" si="79"/>
        <v>649689.213472624</v>
      </c>
      <c r="E392" s="26"/>
      <c r="F392" s="99"/>
      <c r="G392" s="95"/>
      <c r="H392" s="95"/>
      <c r="I392" s="95"/>
      <c r="J392" s="133"/>
      <c r="K392" s="95"/>
    </row>
    <row r="393" spans="1:11" ht="12.75" hidden="1">
      <c r="A393" s="21" t="s">
        <v>12</v>
      </c>
      <c r="B393" s="95">
        <f t="shared" si="78"/>
        <v>1070.4981742164903</v>
      </c>
      <c r="C393" s="96">
        <f t="shared" si="80"/>
        <v>4377.725836956507</v>
      </c>
      <c r="D393" s="96">
        <f t="shared" si="79"/>
        <v>654066.9393095805</v>
      </c>
      <c r="E393" s="26"/>
      <c r="F393" s="99"/>
      <c r="G393" s="95"/>
      <c r="H393" s="95"/>
      <c r="I393" s="95"/>
      <c r="J393" s="133"/>
      <c r="K393" s="95"/>
    </row>
    <row r="394" spans="1:11" ht="12.75" hidden="1">
      <c r="A394" s="21" t="s">
        <v>13</v>
      </c>
      <c r="B394" s="95">
        <f t="shared" si="78"/>
        <v>1045.8734663836099</v>
      </c>
      <c r="C394" s="96">
        <f t="shared" si="80"/>
        <v>4402.350544789388</v>
      </c>
      <c r="D394" s="96">
        <f t="shared" si="79"/>
        <v>658469.2898543698</v>
      </c>
      <c r="E394" s="26"/>
      <c r="F394" s="99"/>
      <c r="G394" s="95"/>
      <c r="H394" s="95"/>
      <c r="I394" s="95"/>
      <c r="J394" s="133"/>
      <c r="K394" s="95"/>
    </row>
    <row r="395" spans="1:11" ht="12.75" hidden="1">
      <c r="A395" s="21" t="s">
        <v>14</v>
      </c>
      <c r="B395" s="95">
        <f t="shared" si="78"/>
        <v>1021.1102445691698</v>
      </c>
      <c r="C395" s="96">
        <f t="shared" si="80"/>
        <v>4427.113766603828</v>
      </c>
      <c r="D395" s="96">
        <f t="shared" si="79"/>
        <v>662896.4036209737</v>
      </c>
      <c r="E395" s="26"/>
      <c r="F395" s="99"/>
      <c r="G395" s="95"/>
      <c r="H395" s="95"/>
      <c r="I395" s="95"/>
      <c r="J395" s="133"/>
      <c r="K395" s="95"/>
    </row>
    <row r="396" spans="1:11" ht="12.75">
      <c r="A396" s="21" t="s">
        <v>29</v>
      </c>
      <c r="B396" s="95">
        <f>B382+SUM(B384:B395)</f>
        <v>1109048.1759990775</v>
      </c>
      <c r="C396" s="96">
        <f>D395</f>
        <v>662896.4036209737</v>
      </c>
      <c r="D396" s="96"/>
      <c r="E396" s="95">
        <f>MAX(0,MAX(0,((B396-B382)-MAX($M$144,$M$47*$M$89))*Fed_marginal_rate)+MAX(0,((B396-B382)-$M$158)*State_marginal_rate)-$P$47)</f>
        <v>1647.9136939133937</v>
      </c>
      <c r="F396" s="99">
        <f>$B$13-E396/12+($F$4*(1-$F$11)*$B$3+$F$5+$F$6)/12</f>
        <v>6566.447870013548</v>
      </c>
      <c r="G396" s="95">
        <f>(F396-$F$14*(1+$F$15)^26)</f>
        <v>-981.6215663898938</v>
      </c>
      <c r="H396" s="95">
        <f>((FV($F$10/12,12,-G396)-12*G396)+I382*$F$10)*(1-$F$11)</f>
        <v>30669.561339680684</v>
      </c>
      <c r="I396" s="95">
        <f>12*G396+H396+I382</f>
        <v>607926.0623019737</v>
      </c>
      <c r="J396" s="133">
        <f>F396-(C396-C382)/12</f>
        <v>2273.024076020666</v>
      </c>
      <c r="K396" s="95"/>
    </row>
    <row r="397" spans="1:11" ht="12.75">
      <c r="A397" s="130" t="s">
        <v>63</v>
      </c>
      <c r="B397" s="93"/>
      <c r="C397" s="93"/>
      <c r="D397" s="26"/>
      <c r="E397" s="26"/>
      <c r="F397" s="99"/>
      <c r="G397" s="95"/>
      <c r="H397" s="95"/>
      <c r="I397" s="95"/>
      <c r="J397" s="133"/>
      <c r="K397" s="95"/>
    </row>
    <row r="398" spans="1:11" ht="12.75" hidden="1">
      <c r="A398" s="21" t="s">
        <v>3</v>
      </c>
      <c r="B398" s="95">
        <f>$B$5/12*($B$9-D395)</f>
        <v>996.2077296320231</v>
      </c>
      <c r="C398" s="96">
        <f>MIN($B$13-B398,MAX(0,$B$9-C396))</f>
        <v>4452.016281540974</v>
      </c>
      <c r="D398" s="96">
        <f>D395+C398</f>
        <v>667348.4199025147</v>
      </c>
      <c r="E398" s="26"/>
      <c r="F398" s="99"/>
      <c r="G398" s="95"/>
      <c r="H398" s="95"/>
      <c r="I398" s="95"/>
      <c r="J398" s="133"/>
      <c r="K398" s="95"/>
    </row>
    <row r="399" spans="1:11" ht="12.75" hidden="1">
      <c r="A399" s="21" t="s">
        <v>4</v>
      </c>
      <c r="B399" s="95">
        <f aca="true" t="shared" si="81" ref="B399:B409">$B$5/12*($B$9-D398)</f>
        <v>971.1651380483551</v>
      </c>
      <c r="C399" s="96">
        <f>MIN($B$13-B399,MAX(0,$B$9-D398))</f>
        <v>4477.058873124642</v>
      </c>
      <c r="D399" s="96">
        <f aca="true" t="shared" si="82" ref="D399:D409">D398+C399</f>
        <v>671825.4787756393</v>
      </c>
      <c r="E399" s="26"/>
      <c r="F399" s="99"/>
      <c r="G399" s="95"/>
      <c r="H399" s="95"/>
      <c r="I399" s="95"/>
      <c r="J399" s="133"/>
      <c r="K399" s="95"/>
    </row>
    <row r="400" spans="1:11" ht="12.75" hidden="1">
      <c r="A400" s="21" t="s">
        <v>5</v>
      </c>
      <c r="B400" s="95">
        <f t="shared" si="81"/>
        <v>945.9816818870289</v>
      </c>
      <c r="C400" s="96">
        <f aca="true" t="shared" si="83" ref="C400:C409">MIN($B$13-B400,MAX(0,$B$9-D399))</f>
        <v>4502.2423292859685</v>
      </c>
      <c r="D400" s="96">
        <f t="shared" si="82"/>
        <v>676327.7211049253</v>
      </c>
      <c r="E400" s="26"/>
      <c r="F400" s="99"/>
      <c r="G400" s="95"/>
      <c r="H400" s="95"/>
      <c r="I400" s="95"/>
      <c r="J400" s="133"/>
      <c r="K400" s="95"/>
    </row>
    <row r="401" spans="1:11" ht="12.75" hidden="1">
      <c r="A401" s="21" t="s">
        <v>6</v>
      </c>
      <c r="B401" s="95">
        <f t="shared" si="81"/>
        <v>920.6565687847955</v>
      </c>
      <c r="C401" s="96">
        <f t="shared" si="83"/>
        <v>4527.567442388202</v>
      </c>
      <c r="D401" s="96">
        <f t="shared" si="82"/>
        <v>680855.2885473134</v>
      </c>
      <c r="E401" s="26"/>
      <c r="F401" s="99"/>
      <c r="G401" s="95"/>
      <c r="H401" s="95"/>
      <c r="I401" s="95"/>
      <c r="J401" s="133"/>
      <c r="K401" s="95"/>
    </row>
    <row r="402" spans="1:11" ht="12.75" hidden="1">
      <c r="A402" s="21" t="s">
        <v>7</v>
      </c>
      <c r="B402" s="95">
        <f t="shared" si="81"/>
        <v>895.1890019213621</v>
      </c>
      <c r="C402" s="96">
        <f t="shared" si="83"/>
        <v>4553.035009251635</v>
      </c>
      <c r="D402" s="96">
        <f t="shared" si="82"/>
        <v>685408.3235565651</v>
      </c>
      <c r="E402" s="26"/>
      <c r="F402" s="99"/>
      <c r="G402" s="95"/>
      <c r="H402" s="95"/>
      <c r="I402" s="95"/>
      <c r="J402" s="133"/>
      <c r="K402" s="95"/>
    </row>
    <row r="403" spans="1:11" ht="12.75" hidden="1">
      <c r="A403" s="21" t="s">
        <v>8</v>
      </c>
      <c r="B403" s="95">
        <f t="shared" si="81"/>
        <v>869.5781799943214</v>
      </c>
      <c r="C403" s="96">
        <f t="shared" si="83"/>
        <v>4578.6458311786755</v>
      </c>
      <c r="D403" s="96">
        <f t="shared" si="82"/>
        <v>689986.9693877437</v>
      </c>
      <c r="E403" s="26"/>
      <c r="F403" s="99"/>
      <c r="G403" s="95"/>
      <c r="H403" s="95"/>
      <c r="I403" s="95"/>
      <c r="J403" s="133"/>
      <c r="K403" s="95"/>
    </row>
    <row r="404" spans="1:11" ht="12.75" hidden="1">
      <c r="A404" s="21" t="s">
        <v>9</v>
      </c>
      <c r="B404" s="95">
        <f t="shared" si="81"/>
        <v>843.8232971939416</v>
      </c>
      <c r="C404" s="96">
        <f t="shared" si="83"/>
        <v>4604.400713979056</v>
      </c>
      <c r="D404" s="96">
        <f t="shared" si="82"/>
        <v>694591.3701017228</v>
      </c>
      <c r="E404" s="26"/>
      <c r="F404" s="99"/>
      <c r="G404" s="95"/>
      <c r="H404" s="95"/>
      <c r="I404" s="95"/>
      <c r="J404" s="133"/>
      <c r="K404" s="95"/>
    </row>
    <row r="405" spans="1:11" ht="12.75" hidden="1">
      <c r="A405" s="21" t="s">
        <v>10</v>
      </c>
      <c r="B405" s="95">
        <f t="shared" si="81"/>
        <v>817.9235431778095</v>
      </c>
      <c r="C405" s="96">
        <f t="shared" si="83"/>
        <v>4630.300467995187</v>
      </c>
      <c r="D405" s="96">
        <f t="shared" si="82"/>
        <v>699221.670569718</v>
      </c>
      <c r="E405" s="26"/>
      <c r="F405" s="99"/>
      <c r="G405" s="95"/>
      <c r="H405" s="95"/>
      <c r="I405" s="95"/>
      <c r="J405" s="133"/>
      <c r="K405" s="95"/>
    </row>
    <row r="406" spans="1:11" ht="12.75" hidden="1">
      <c r="A406" s="21" t="s">
        <v>11</v>
      </c>
      <c r="B406" s="95">
        <f t="shared" si="81"/>
        <v>791.8781030453364</v>
      </c>
      <c r="C406" s="96">
        <f t="shared" si="83"/>
        <v>4656.345908127661</v>
      </c>
      <c r="D406" s="96">
        <f t="shared" si="82"/>
        <v>703878.0164778456</v>
      </c>
      <c r="E406" s="26"/>
      <c r="F406" s="99"/>
      <c r="G406" s="95"/>
      <c r="H406" s="95"/>
      <c r="I406" s="95"/>
      <c r="J406" s="133"/>
      <c r="K406" s="95"/>
    </row>
    <row r="407" spans="1:11" ht="12.75" hidden="1">
      <c r="A407" s="21" t="s">
        <v>12</v>
      </c>
      <c r="B407" s="95">
        <f t="shared" si="81"/>
        <v>765.6861573121186</v>
      </c>
      <c r="C407" s="96">
        <f t="shared" si="83"/>
        <v>4682.537853860878</v>
      </c>
      <c r="D407" s="96">
        <f t="shared" si="82"/>
        <v>708560.5543317065</v>
      </c>
      <c r="E407" s="26"/>
      <c r="F407" s="99"/>
      <c r="G407" s="95"/>
      <c r="H407" s="95"/>
      <c r="I407" s="95"/>
      <c r="J407" s="133"/>
      <c r="K407" s="95"/>
    </row>
    <row r="408" spans="1:11" ht="12.75" hidden="1">
      <c r="A408" s="21" t="s">
        <v>13</v>
      </c>
      <c r="B408" s="95">
        <f t="shared" si="81"/>
        <v>739.3468818841511</v>
      </c>
      <c r="C408" s="96">
        <f t="shared" si="83"/>
        <v>4708.877129288846</v>
      </c>
      <c r="D408" s="96">
        <f t="shared" si="82"/>
        <v>713269.4314609953</v>
      </c>
      <c r="E408" s="26"/>
      <c r="F408" s="99"/>
      <c r="G408" s="95"/>
      <c r="H408" s="95"/>
      <c r="I408" s="95"/>
      <c r="J408" s="133"/>
      <c r="K408" s="95"/>
    </row>
    <row r="409" spans="1:11" ht="12.75" hidden="1">
      <c r="A409" s="21" t="s">
        <v>14</v>
      </c>
      <c r="B409" s="95">
        <f t="shared" si="81"/>
        <v>712.8594480319013</v>
      </c>
      <c r="C409" s="96">
        <f t="shared" si="83"/>
        <v>4735.3645631410955</v>
      </c>
      <c r="D409" s="96">
        <f t="shared" si="82"/>
        <v>718004.7960241365</v>
      </c>
      <c r="E409" s="26"/>
      <c r="F409" s="99"/>
      <c r="G409" s="95"/>
      <c r="H409" s="95"/>
      <c r="I409" s="95"/>
      <c r="J409" s="133"/>
      <c r="K409" s="95"/>
    </row>
    <row r="410" spans="1:11" ht="12.75">
      <c r="A410" s="21" t="s">
        <v>29</v>
      </c>
      <c r="B410" s="95">
        <f>B396+SUM(B398:B409)</f>
        <v>1119318.4717299906</v>
      </c>
      <c r="C410" s="96">
        <f>D409</f>
        <v>718004.7960241365</v>
      </c>
      <c r="D410" s="96"/>
      <c r="E410" s="95">
        <f>MAX(0,MAX(0,((B410-B396)-MAX($M$144,$M$47*$M$89))*Fed_marginal_rate)+MAX(0,((B410-B396)-$M$158)*State_marginal_rate)-$P$47)</f>
        <v>417.46743570317886</v>
      </c>
      <c r="F410" s="99">
        <f>$B$13-E410/12+($F$4*(1-$F$11)*$B$3+$F$5+$F$6)/12</f>
        <v>6668.9850581977325</v>
      </c>
      <c r="G410" s="95">
        <f>(F410-$F$14*(1+$F$15)^27)</f>
        <v>-1105.5264612978117</v>
      </c>
      <c r="H410" s="95">
        <f>((FV($F$10/12,12,-G410)-12*G410)+I396*$F$10)*(1-$F$11)</f>
        <v>31625.79866944971</v>
      </c>
      <c r="I410" s="95">
        <f>12*G410+H410+I396</f>
        <v>626285.5434358497</v>
      </c>
      <c r="J410" s="133">
        <f>F410-(C410-C396)/12</f>
        <v>2076.6190246008337</v>
      </c>
      <c r="K410" s="95"/>
    </row>
    <row r="411" spans="1:11" ht="12.75">
      <c r="A411" s="130" t="s">
        <v>26</v>
      </c>
      <c r="B411" s="93"/>
      <c r="C411" s="93"/>
      <c r="D411" s="26"/>
      <c r="E411" s="26"/>
      <c r="F411" s="99"/>
      <c r="G411" s="95"/>
      <c r="H411" s="95"/>
      <c r="I411" s="95"/>
      <c r="J411" s="133"/>
      <c r="K411" s="95"/>
    </row>
    <row r="412" spans="1:11" ht="12.75" hidden="1">
      <c r="A412" s="21" t="s">
        <v>3</v>
      </c>
      <c r="B412" s="95">
        <f>$B$5/12*($B$9-D409)</f>
        <v>686.2230223642324</v>
      </c>
      <c r="C412" s="96">
        <f>MIN($B$13-B412,MAX(0,$B$9-C410))</f>
        <v>4762.000988808764</v>
      </c>
      <c r="D412" s="96">
        <f>D409+C412</f>
        <v>722766.7970129453</v>
      </c>
      <c r="E412" s="26"/>
      <c r="F412" s="99"/>
      <c r="G412" s="95"/>
      <c r="H412" s="95"/>
      <c r="I412" s="95"/>
      <c r="J412" s="133"/>
      <c r="K412" s="95"/>
    </row>
    <row r="413" spans="1:11" ht="12.75" hidden="1">
      <c r="A413" s="21" t="s">
        <v>4</v>
      </c>
      <c r="B413" s="95">
        <f aca="true" t="shared" si="84" ref="B413:B423">$B$5/12*($B$9-D412)</f>
        <v>659.4367668021829</v>
      </c>
      <c r="C413" s="96">
        <f>MIN($B$13-B413,MAX(0,$B$9-D412))</f>
        <v>4788.787244370814</v>
      </c>
      <c r="D413" s="96">
        <f aca="true" t="shared" si="85" ref="D413:D423">D412+C413</f>
        <v>727555.5842573161</v>
      </c>
      <c r="E413" s="26"/>
      <c r="F413" s="99"/>
      <c r="G413" s="95"/>
      <c r="H413" s="95"/>
      <c r="I413" s="95"/>
      <c r="J413" s="133"/>
      <c r="K413" s="95"/>
    </row>
    <row r="414" spans="1:11" ht="12.75" hidden="1">
      <c r="A414" s="21" t="s">
        <v>5</v>
      </c>
      <c r="B414" s="95">
        <f t="shared" si="84"/>
        <v>632.4998385525971</v>
      </c>
      <c r="C414" s="96">
        <f aca="true" t="shared" si="86" ref="C414:C423">MIN($B$13-B414,MAX(0,$B$9-D413))</f>
        <v>4815.7241726204</v>
      </c>
      <c r="D414" s="96">
        <f t="shared" si="85"/>
        <v>732371.3084299365</v>
      </c>
      <c r="E414" s="26"/>
      <c r="F414" s="99"/>
      <c r="G414" s="95"/>
      <c r="H414" s="95"/>
      <c r="I414" s="95"/>
      <c r="J414" s="133"/>
      <c r="K414" s="95"/>
    </row>
    <row r="415" spans="1:11" ht="12.75" hidden="1">
      <c r="A415" s="21" t="s">
        <v>6</v>
      </c>
      <c r="B415" s="95">
        <f t="shared" si="84"/>
        <v>605.4113900816071</v>
      </c>
      <c r="C415" s="96">
        <f t="shared" si="86"/>
        <v>4842.81262109139</v>
      </c>
      <c r="D415" s="96">
        <f t="shared" si="85"/>
        <v>737214.1210510279</v>
      </c>
      <c r="E415" s="26"/>
      <c r="F415" s="99"/>
      <c r="G415" s="95"/>
      <c r="H415" s="95"/>
      <c r="I415" s="95"/>
      <c r="J415" s="133"/>
      <c r="K415" s="95"/>
    </row>
    <row r="416" spans="1:11" ht="12.75" hidden="1">
      <c r="A416" s="21" t="s">
        <v>7</v>
      </c>
      <c r="B416" s="95">
        <f t="shared" si="84"/>
        <v>578.1705690879681</v>
      </c>
      <c r="C416" s="96">
        <f t="shared" si="86"/>
        <v>4870.053442085029</v>
      </c>
      <c r="D416" s="96">
        <f t="shared" si="85"/>
        <v>742084.174493113</v>
      </c>
      <c r="E416" s="26"/>
      <c r="F416" s="99"/>
      <c r="G416" s="95"/>
      <c r="H416" s="95"/>
      <c r="I416" s="95"/>
      <c r="J416" s="133"/>
      <c r="K416" s="95"/>
    </row>
    <row r="417" spans="1:11" ht="12.75" hidden="1">
      <c r="A417" s="21" t="s">
        <v>8</v>
      </c>
      <c r="B417" s="95">
        <f t="shared" si="84"/>
        <v>550.7765184762397</v>
      </c>
      <c r="C417" s="96">
        <f t="shared" si="86"/>
        <v>4897.447492696758</v>
      </c>
      <c r="D417" s="96">
        <f t="shared" si="85"/>
        <v>746981.6219858098</v>
      </c>
      <c r="E417" s="26"/>
      <c r="F417" s="99"/>
      <c r="G417" s="95"/>
      <c r="H417" s="95"/>
      <c r="I417" s="95"/>
      <c r="J417" s="133"/>
      <c r="K417" s="95"/>
    </row>
    <row r="418" spans="1:11" ht="12.75" hidden="1">
      <c r="A418" s="21" t="s">
        <v>9</v>
      </c>
      <c r="B418" s="95">
        <f t="shared" si="84"/>
        <v>523.2283763298202</v>
      </c>
      <c r="C418" s="96">
        <f t="shared" si="86"/>
        <v>4924.995634843177</v>
      </c>
      <c r="D418" s="96">
        <f t="shared" si="85"/>
        <v>751906.6176206529</v>
      </c>
      <c r="E418" s="26"/>
      <c r="F418" s="99"/>
      <c r="G418" s="95"/>
      <c r="H418" s="95"/>
      <c r="I418" s="95"/>
      <c r="J418" s="133"/>
      <c r="K418" s="95"/>
    </row>
    <row r="419" spans="1:11" ht="12.75" hidden="1">
      <c r="A419" s="21" t="s">
        <v>10</v>
      </c>
      <c r="B419" s="95">
        <f t="shared" si="84"/>
        <v>495.52527588382753</v>
      </c>
      <c r="C419" s="96">
        <f t="shared" si="86"/>
        <v>4952.698735289169</v>
      </c>
      <c r="D419" s="96">
        <f t="shared" si="85"/>
        <v>756859.316355942</v>
      </c>
      <c r="E419" s="26"/>
      <c r="F419" s="99"/>
      <c r="G419" s="95"/>
      <c r="H419" s="95"/>
      <c r="I419" s="95"/>
      <c r="J419" s="133"/>
      <c r="K419" s="95"/>
    </row>
    <row r="420" spans="1:11" ht="12.75" hidden="1">
      <c r="A420" s="21" t="s">
        <v>11</v>
      </c>
      <c r="B420" s="95">
        <f t="shared" si="84"/>
        <v>467.666345497826</v>
      </c>
      <c r="C420" s="96">
        <f t="shared" si="86"/>
        <v>4980.557665675171</v>
      </c>
      <c r="D420" s="96">
        <f t="shared" si="85"/>
        <v>761839.8740216172</v>
      </c>
      <c r="E420" s="26"/>
      <c r="F420" s="99"/>
      <c r="G420" s="95"/>
      <c r="H420" s="95"/>
      <c r="I420" s="95"/>
      <c r="J420" s="133"/>
      <c r="K420" s="95"/>
    </row>
    <row r="421" spans="1:11" ht="12.75" hidden="1">
      <c r="A421" s="21" t="s">
        <v>12</v>
      </c>
      <c r="B421" s="95">
        <f t="shared" si="84"/>
        <v>439.65070862840315</v>
      </c>
      <c r="C421" s="96">
        <f t="shared" si="86"/>
        <v>5008.573302544594</v>
      </c>
      <c r="D421" s="96">
        <f t="shared" si="85"/>
        <v>766848.4473241618</v>
      </c>
      <c r="E421" s="26"/>
      <c r="F421" s="99"/>
      <c r="G421" s="95"/>
      <c r="H421" s="95"/>
      <c r="I421" s="95"/>
      <c r="J421" s="133"/>
      <c r="K421" s="95"/>
    </row>
    <row r="422" spans="1:11" ht="12.75" hidden="1">
      <c r="A422" s="21" t="s">
        <v>13</v>
      </c>
      <c r="B422" s="95">
        <f t="shared" si="84"/>
        <v>411.4774838015901</v>
      </c>
      <c r="C422" s="96">
        <f t="shared" si="86"/>
        <v>5036.746527371407</v>
      </c>
      <c r="D422" s="96">
        <f t="shared" si="85"/>
        <v>771885.1938515332</v>
      </c>
      <c r="E422" s="26"/>
      <c r="F422" s="99"/>
      <c r="G422" s="95"/>
      <c r="H422" s="95"/>
      <c r="I422" s="95"/>
      <c r="J422" s="133"/>
      <c r="K422" s="95"/>
    </row>
    <row r="423" spans="1:11" ht="12.75" hidden="1">
      <c r="A423" s="21" t="s">
        <v>14</v>
      </c>
      <c r="B423" s="95">
        <f t="shared" si="84"/>
        <v>383.1457845851256</v>
      </c>
      <c r="C423" s="96">
        <f t="shared" si="86"/>
        <v>5065.0782265878715</v>
      </c>
      <c r="D423" s="96">
        <f t="shared" si="85"/>
        <v>776950.2720781211</v>
      </c>
      <c r="E423" s="26"/>
      <c r="F423" s="99"/>
      <c r="G423" s="95"/>
      <c r="H423" s="95"/>
      <c r="I423" s="95"/>
      <c r="J423" s="133"/>
      <c r="K423" s="95"/>
    </row>
    <row r="424" spans="1:11" ht="12.75">
      <c r="A424" s="21" t="s">
        <v>29</v>
      </c>
      <c r="B424" s="95">
        <f>B410+SUM(B412:B423)</f>
        <v>1125751.683810082</v>
      </c>
      <c r="C424" s="96">
        <f>D423</f>
        <v>776950.2720781211</v>
      </c>
      <c r="D424" s="96"/>
      <c r="E424" s="95">
        <f>MAX(0,MAX(0,((B424-B410)-MAX($M$144,$M$47*$M$89))*Fed_marginal_rate)+MAX(0,((B424-B410)-$M$158)*State_marginal_rate)-$P$47)</f>
        <v>0</v>
      </c>
      <c r="F424" s="99">
        <f>$B$13-E424/12+($F$4*(1-$F$11)*$B$3+$F$5+$F$6)/12</f>
        <v>6703.774011172997</v>
      </c>
      <c r="G424" s="95">
        <f>(F424-$F$14*(1+$F$15)^28)</f>
        <v>-1303.972853907413</v>
      </c>
      <c r="H424" s="95">
        <f>((FV($F$10/12,12,-G424)-12*G424)+I410*$F$10)*(1-$F$11)</f>
        <v>32532.11196718346</v>
      </c>
      <c r="I424" s="95">
        <f>12*G424+H424+I410</f>
        <v>643169.9811561442</v>
      </c>
      <c r="J424" s="133">
        <f>F424-(C424-C410)/12</f>
        <v>1791.6510066742803</v>
      </c>
      <c r="K424" s="95"/>
    </row>
    <row r="425" spans="1:11" ht="12.75">
      <c r="A425" s="130" t="s">
        <v>27</v>
      </c>
      <c r="B425" s="93"/>
      <c r="C425" s="93"/>
      <c r="D425" s="26"/>
      <c r="E425" s="26"/>
      <c r="F425" s="99"/>
      <c r="G425" s="95"/>
      <c r="H425" s="95"/>
      <c r="I425" s="95"/>
      <c r="J425" s="133"/>
      <c r="K425" s="95"/>
    </row>
    <row r="426" spans="1:11" ht="12.75" hidden="1">
      <c r="A426" s="21" t="s">
        <v>3</v>
      </c>
      <c r="B426" s="95">
        <f>$B$5/12*($B$9-D423)</f>
        <v>354.65471956056894</v>
      </c>
      <c r="C426" s="96">
        <f>MIN($B$13-B426,MAX(0,$B$9-C424))</f>
        <v>5093.569291612428</v>
      </c>
      <c r="D426" s="96">
        <f>D423+C426</f>
        <v>782043.8413697336</v>
      </c>
      <c r="E426" s="26"/>
      <c r="F426" s="99"/>
      <c r="G426" s="95"/>
      <c r="H426" s="95"/>
      <c r="I426" s="95"/>
      <c r="J426" s="133"/>
      <c r="K426" s="95"/>
    </row>
    <row r="427" spans="1:11" ht="12.75" hidden="1">
      <c r="A427" s="21" t="s">
        <v>4</v>
      </c>
      <c r="B427" s="95">
        <f aca="true" t="shared" si="87" ref="B427:B437">$B$5/12*($B$9-D426)</f>
        <v>326.0033922952487</v>
      </c>
      <c r="C427" s="96">
        <f>MIN($B$13-B427,MAX(0,$B$9-D426))</f>
        <v>5122.220618877748</v>
      </c>
      <c r="D427" s="96">
        <f aca="true" t="shared" si="88" ref="D427:D437">D426+C427</f>
        <v>787166.0619886114</v>
      </c>
      <c r="E427" s="26"/>
      <c r="F427" s="99"/>
      <c r="G427" s="95"/>
      <c r="H427" s="95"/>
      <c r="I427" s="95"/>
      <c r="J427" s="133"/>
      <c r="K427" s="95"/>
    </row>
    <row r="428" spans="1:11" ht="12.75" hidden="1">
      <c r="A428" s="21" t="s">
        <v>5</v>
      </c>
      <c r="B428" s="95">
        <f t="shared" si="87"/>
        <v>297.19090131406114</v>
      </c>
      <c r="C428" s="96">
        <f aca="true" t="shared" si="89" ref="C428:C437">MIN($B$13-B428,MAX(0,$B$9-D427))</f>
        <v>5151.033109858936</v>
      </c>
      <c r="D428" s="96">
        <f t="shared" si="88"/>
        <v>792317.0950984703</v>
      </c>
      <c r="E428" s="26"/>
      <c r="F428" s="99"/>
      <c r="G428" s="95"/>
      <c r="H428" s="95"/>
      <c r="I428" s="95"/>
      <c r="J428" s="133"/>
      <c r="K428" s="95"/>
    </row>
    <row r="429" spans="1:11" ht="12.75" hidden="1">
      <c r="A429" s="21" t="s">
        <v>6</v>
      </c>
      <c r="B429" s="95">
        <f t="shared" si="87"/>
        <v>268.21634007110436</v>
      </c>
      <c r="C429" s="96">
        <f t="shared" si="89"/>
        <v>5180.007671101893</v>
      </c>
      <c r="D429" s="96">
        <f t="shared" si="88"/>
        <v>797497.1027695723</v>
      </c>
      <c r="E429" s="26"/>
      <c r="F429" s="99"/>
      <c r="G429" s="95"/>
      <c r="H429" s="95"/>
      <c r="I429" s="95"/>
      <c r="J429" s="133"/>
      <c r="K429" s="95"/>
    </row>
    <row r="430" spans="1:11" ht="12.75" hidden="1">
      <c r="A430" s="21" t="s">
        <v>7</v>
      </c>
      <c r="B430" s="95">
        <f t="shared" si="87"/>
        <v>239.0787969211559</v>
      </c>
      <c r="C430" s="96">
        <f t="shared" si="89"/>
        <v>5209.145214251841</v>
      </c>
      <c r="D430" s="96">
        <f t="shared" si="88"/>
        <v>802706.2479838241</v>
      </c>
      <c r="E430" s="26"/>
      <c r="F430" s="99"/>
      <c r="G430" s="95"/>
      <c r="H430" s="95"/>
      <c r="I430" s="95"/>
      <c r="J430" s="133"/>
      <c r="K430" s="95"/>
    </row>
    <row r="431" spans="1:11" ht="12.75" hidden="1">
      <c r="A431" s="21" t="s">
        <v>8</v>
      </c>
      <c r="B431" s="95">
        <f t="shared" si="87"/>
        <v>209.7773550909894</v>
      </c>
      <c r="C431" s="96">
        <f t="shared" si="89"/>
        <v>5238.446656082007</v>
      </c>
      <c r="D431" s="96">
        <f t="shared" si="88"/>
        <v>807944.6946399062</v>
      </c>
      <c r="E431" s="26"/>
      <c r="F431" s="99"/>
      <c r="G431" s="95"/>
      <c r="H431" s="95"/>
      <c r="I431" s="95"/>
      <c r="J431" s="133"/>
      <c r="K431" s="95"/>
    </row>
    <row r="432" spans="1:11" ht="12.75" hidden="1">
      <c r="A432" s="21" t="s">
        <v>9</v>
      </c>
      <c r="B432" s="95">
        <f t="shared" si="87"/>
        <v>180.3110926505278</v>
      </c>
      <c r="C432" s="96">
        <f t="shared" si="89"/>
        <v>5267.912918522469</v>
      </c>
      <c r="D432" s="96">
        <f t="shared" si="88"/>
        <v>813212.6075584287</v>
      </c>
      <c r="E432" s="26"/>
      <c r="F432" s="99"/>
      <c r="G432" s="95"/>
      <c r="H432" s="95"/>
      <c r="I432" s="95"/>
      <c r="J432" s="133"/>
      <c r="K432" s="95"/>
    </row>
    <row r="433" spans="1:11" ht="12.75" hidden="1">
      <c r="A433" s="21" t="s">
        <v>10</v>
      </c>
      <c r="B433" s="95">
        <f t="shared" si="87"/>
        <v>150.6790824838388</v>
      </c>
      <c r="C433" s="96">
        <f t="shared" si="89"/>
        <v>5297.544928689158</v>
      </c>
      <c r="D433" s="96">
        <f t="shared" si="88"/>
        <v>818510.1524871178</v>
      </c>
      <c r="E433" s="26"/>
      <c r="F433" s="99"/>
      <c r="G433" s="95"/>
      <c r="H433" s="95"/>
      <c r="I433" s="95"/>
      <c r="J433" s="133"/>
      <c r="K433" s="95"/>
    </row>
    <row r="434" spans="1:11" ht="12.75" hidden="1">
      <c r="A434" s="21" t="s">
        <v>11</v>
      </c>
      <c r="B434" s="95">
        <f t="shared" si="87"/>
        <v>120.8803922599624</v>
      </c>
      <c r="C434" s="96">
        <f t="shared" si="89"/>
        <v>5327.343618913034</v>
      </c>
      <c r="D434" s="96">
        <f t="shared" si="88"/>
        <v>823837.4961060309</v>
      </c>
      <c r="E434" s="26"/>
      <c r="F434" s="99"/>
      <c r="G434" s="95"/>
      <c r="H434" s="95"/>
      <c r="I434" s="95"/>
      <c r="J434" s="133"/>
      <c r="K434" s="95"/>
    </row>
    <row r="435" spans="1:11" ht="12.75" hidden="1">
      <c r="A435" s="21" t="s">
        <v>12</v>
      </c>
      <c r="B435" s="95">
        <f t="shared" si="87"/>
        <v>90.91408440357628</v>
      </c>
      <c r="C435" s="96">
        <f t="shared" si="89"/>
        <v>5357.309926769421</v>
      </c>
      <c r="D435" s="96">
        <f t="shared" si="88"/>
        <v>829194.8060328003</v>
      </c>
      <c r="E435" s="26"/>
      <c r="F435" s="99"/>
      <c r="G435" s="95"/>
      <c r="H435" s="95"/>
      <c r="I435" s="95"/>
      <c r="J435" s="133"/>
      <c r="K435" s="95"/>
    </row>
    <row r="436" spans="1:11" ht="12.75" hidden="1">
      <c r="A436" s="21" t="s">
        <v>13</v>
      </c>
      <c r="B436" s="95">
        <f t="shared" si="87"/>
        <v>60.77921606549805</v>
      </c>
      <c r="C436" s="96">
        <f t="shared" si="89"/>
        <v>5387.444795107499</v>
      </c>
      <c r="D436" s="96">
        <f t="shared" si="88"/>
        <v>834582.2508279078</v>
      </c>
      <c r="E436" s="26"/>
      <c r="F436" s="99"/>
      <c r="G436" s="95"/>
      <c r="H436" s="95"/>
      <c r="I436" s="95"/>
      <c r="J436" s="133"/>
      <c r="K436" s="95"/>
    </row>
    <row r="437" spans="1:11" ht="12.75" hidden="1">
      <c r="A437" s="21" t="s">
        <v>14</v>
      </c>
      <c r="B437" s="95">
        <f t="shared" si="87"/>
        <v>30.47483909301853</v>
      </c>
      <c r="C437" s="96">
        <f t="shared" si="89"/>
        <v>5417.749172079979</v>
      </c>
      <c r="D437" s="96">
        <f t="shared" si="88"/>
        <v>839999.9999999878</v>
      </c>
      <c r="E437" s="26"/>
      <c r="F437" s="99"/>
      <c r="G437" s="95"/>
      <c r="H437" s="95"/>
      <c r="I437" s="95"/>
      <c r="J437" s="133"/>
      <c r="K437" s="95"/>
    </row>
    <row r="438" spans="1:11" ht="13.5" thickBot="1">
      <c r="A438" s="134" t="s">
        <v>29</v>
      </c>
      <c r="B438" s="135">
        <f>B424+SUM(B426:B437)</f>
        <v>1128080.6440222915</v>
      </c>
      <c r="C438" s="136">
        <f>D437</f>
        <v>839999.9999999878</v>
      </c>
      <c r="D438" s="136"/>
      <c r="E438" s="135">
        <f>MAX(0,MAX(0,((B438-B424)-MAX($M$144,$M$47*$M$89))*Fed_marginal_rate)+MAX(0,((B438-B424)-$M$158)*State_marginal_rate)-$P$47)</f>
        <v>0</v>
      </c>
      <c r="F438" s="137">
        <f>$B$13-E438/12+($F$4*(1-$F$11)*$B$3+$F$5+$F$6)/12</f>
        <v>6703.774011172997</v>
      </c>
      <c r="G438" s="135">
        <f>(F438-$F$14*(1+$F$15)^29)</f>
        <v>-1544.2052598598248</v>
      </c>
      <c r="H438" s="135">
        <f>((FV($F$10/12,12,-G438)-12*G438)+I424*$F$10)*(1-$F$11)</f>
        <v>33348.544979226965</v>
      </c>
      <c r="I438" s="135">
        <f>12*G438+H438+I424</f>
        <v>657988.0630170533</v>
      </c>
      <c r="J438" s="138">
        <f>F438-(C438-C424)/12</f>
        <v>1449.630017684106</v>
      </c>
      <c r="K438" s="95"/>
    </row>
    <row r="440" ht="12.75">
      <c r="C440" s="5"/>
    </row>
    <row r="441" ht="12.75">
      <c r="B441" s="2"/>
    </row>
  </sheetData>
  <sheetProtection sheet="1" objects="1" scenarios="1"/>
  <mergeCells count="5">
    <mergeCell ref="N18:P18"/>
    <mergeCell ref="L17:M18"/>
    <mergeCell ref="A2:B2"/>
    <mergeCell ref="A17:J17"/>
    <mergeCell ref="L2:M2"/>
  </mergeCells>
  <conditionalFormatting sqref="B13">
    <cfRule type="cellIs" priority="1" dxfId="0" operator="greaterThan" stopIfTrue="1">
      <formula>$M$32/36</formula>
    </cfRule>
  </conditionalFormatting>
  <conditionalFormatting sqref="P47">
    <cfRule type="cellIs" priority="2" dxfId="0" operator="greaterThan" stopIfTrue="1">
      <formula>0</formula>
    </cfRule>
  </conditionalFormatting>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F26"/>
  <sheetViews>
    <sheetView workbookViewId="0" topLeftCell="A1">
      <selection activeCell="F35" sqref="F35"/>
    </sheetView>
  </sheetViews>
  <sheetFormatPr defaultColWidth="9.140625" defaultRowHeight="12.75"/>
  <cols>
    <col min="2" max="4" width="10.7109375" style="1" customWidth="1"/>
    <col min="5" max="5" width="10.7109375" style="24" customWidth="1"/>
    <col min="6" max="6" width="11.421875" style="1" bestFit="1" customWidth="1"/>
  </cols>
  <sheetData>
    <row r="1" spans="1:6" ht="12.75">
      <c r="A1" s="49"/>
      <c r="B1" s="189" t="s">
        <v>85</v>
      </c>
      <c r="C1" s="190"/>
      <c r="D1" s="191" t="s">
        <v>80</v>
      </c>
      <c r="E1" s="191"/>
      <c r="F1" s="192"/>
    </row>
    <row r="2" spans="1:6" ht="26.25" customHeight="1">
      <c r="A2" s="43"/>
      <c r="B2" s="44" t="s">
        <v>78</v>
      </c>
      <c r="C2" s="45" t="s">
        <v>79</v>
      </c>
      <c r="D2" s="46" t="s">
        <v>81</v>
      </c>
      <c r="E2" s="47" t="s">
        <v>82</v>
      </c>
      <c r="F2" s="48" t="s">
        <v>83</v>
      </c>
    </row>
    <row r="3" spans="1:6" ht="12.75">
      <c r="A3" s="25" t="s">
        <v>77</v>
      </c>
      <c r="B3" s="37">
        <v>0</v>
      </c>
      <c r="C3" s="153">
        <v>7825</v>
      </c>
      <c r="D3" s="26">
        <v>0</v>
      </c>
      <c r="E3" s="27">
        <v>0.1</v>
      </c>
      <c r="F3" s="22">
        <f aca="true" t="shared" si="0" ref="F3:F14">B3</f>
        <v>0</v>
      </c>
    </row>
    <row r="4" spans="1:6" ht="12.75">
      <c r="A4" s="16"/>
      <c r="B4" s="37">
        <f>C3</f>
        <v>7825</v>
      </c>
      <c r="C4" s="153">
        <v>31850</v>
      </c>
      <c r="D4" s="28">
        <f>D3+E3*(C3-B3)</f>
        <v>782.5</v>
      </c>
      <c r="E4" s="27">
        <v>0.15</v>
      </c>
      <c r="F4" s="22">
        <f t="shared" si="0"/>
        <v>7825</v>
      </c>
    </row>
    <row r="5" spans="1:6" ht="12.75">
      <c r="A5" s="16"/>
      <c r="B5" s="37">
        <f>C4</f>
        <v>31850</v>
      </c>
      <c r="C5" s="153">
        <v>77100</v>
      </c>
      <c r="D5" s="28">
        <f>D4+E4*(C4-B4)</f>
        <v>4386.25</v>
      </c>
      <c r="E5" s="27">
        <v>0.25</v>
      </c>
      <c r="F5" s="22">
        <f t="shared" si="0"/>
        <v>31850</v>
      </c>
    </row>
    <row r="6" spans="1:6" ht="12.75">
      <c r="A6" s="16"/>
      <c r="B6" s="37">
        <f>C5</f>
        <v>77100</v>
      </c>
      <c r="C6" s="153">
        <v>160850</v>
      </c>
      <c r="D6" s="28">
        <f>D5+E5*(C5-B5)</f>
        <v>15698.75</v>
      </c>
      <c r="E6" s="27">
        <v>0.28</v>
      </c>
      <c r="F6" s="22">
        <f t="shared" si="0"/>
        <v>77100</v>
      </c>
    </row>
    <row r="7" spans="1:6" ht="12.75">
      <c r="A7" s="16"/>
      <c r="B7" s="37">
        <f>C6</f>
        <v>160850</v>
      </c>
      <c r="C7" s="153">
        <v>349700</v>
      </c>
      <c r="D7" s="28">
        <f>D6+E6*(C6-B6)</f>
        <v>39148.75</v>
      </c>
      <c r="E7" s="27">
        <v>0.33</v>
      </c>
      <c r="F7" s="22">
        <f t="shared" si="0"/>
        <v>160850</v>
      </c>
    </row>
    <row r="8" spans="1:6" ht="12.75">
      <c r="A8" s="33"/>
      <c r="B8" s="38">
        <f>C7</f>
        <v>349700</v>
      </c>
      <c r="C8" s="41"/>
      <c r="D8" s="34">
        <f>D7+E7*(C7-B7)</f>
        <v>101469.25</v>
      </c>
      <c r="E8" s="35">
        <v>0.35</v>
      </c>
      <c r="F8" s="36">
        <f t="shared" si="0"/>
        <v>349700</v>
      </c>
    </row>
    <row r="9" spans="1:6" ht="12.75">
      <c r="A9" s="25" t="s">
        <v>84</v>
      </c>
      <c r="B9" s="37">
        <v>0</v>
      </c>
      <c r="C9" s="40">
        <f>2*C3</f>
        <v>15650</v>
      </c>
      <c r="D9" s="26">
        <v>0</v>
      </c>
      <c r="E9" s="27">
        <v>0.1</v>
      </c>
      <c r="F9" s="22">
        <f t="shared" si="0"/>
        <v>0</v>
      </c>
    </row>
    <row r="10" spans="1:6" ht="12.75">
      <c r="A10" s="16"/>
      <c r="B10" s="37">
        <f>C9</f>
        <v>15650</v>
      </c>
      <c r="C10" s="40">
        <f>2*C4</f>
        <v>63700</v>
      </c>
      <c r="D10" s="28">
        <f>D9+E9*(C9-B9)</f>
        <v>1565</v>
      </c>
      <c r="E10" s="27">
        <v>0.15</v>
      </c>
      <c r="F10" s="22">
        <f t="shared" si="0"/>
        <v>15650</v>
      </c>
    </row>
    <row r="11" spans="1:6" ht="12.75">
      <c r="A11" s="16"/>
      <c r="B11" s="37">
        <f>C10</f>
        <v>63700</v>
      </c>
      <c r="C11" s="40">
        <f>2*C5</f>
        <v>154200</v>
      </c>
      <c r="D11" s="28">
        <f>D10+E10*(C10-B10)</f>
        <v>8772.5</v>
      </c>
      <c r="E11" s="27">
        <v>0.25</v>
      </c>
      <c r="F11" s="22">
        <f t="shared" si="0"/>
        <v>63700</v>
      </c>
    </row>
    <row r="12" spans="1:6" ht="12.75">
      <c r="A12" s="16"/>
      <c r="B12" s="37">
        <f>C11</f>
        <v>154200</v>
      </c>
      <c r="C12" s="40">
        <f>2*C6</f>
        <v>321700</v>
      </c>
      <c r="D12" s="28">
        <f>D11+E11*(C11-B11)</f>
        <v>31397.5</v>
      </c>
      <c r="E12" s="27">
        <v>0.28</v>
      </c>
      <c r="F12" s="22">
        <f t="shared" si="0"/>
        <v>154200</v>
      </c>
    </row>
    <row r="13" spans="1:6" ht="12.75">
      <c r="A13" s="16"/>
      <c r="B13" s="37">
        <f>C12</f>
        <v>321700</v>
      </c>
      <c r="C13" s="40">
        <f>2*C7</f>
        <v>699400</v>
      </c>
      <c r="D13" s="28">
        <f>D12+E12*(C12-B12)</f>
        <v>78297.5</v>
      </c>
      <c r="E13" s="27">
        <v>0.33</v>
      </c>
      <c r="F13" s="22">
        <f t="shared" si="0"/>
        <v>321700</v>
      </c>
    </row>
    <row r="14" spans="1:6" ht="13.5" thickBot="1">
      <c r="A14" s="29"/>
      <c r="B14" s="39">
        <f>C13</f>
        <v>699400</v>
      </c>
      <c r="C14" s="42"/>
      <c r="D14" s="30">
        <f>D13+E13*(C13-B13)</f>
        <v>202938.5</v>
      </c>
      <c r="E14" s="31">
        <v>0.35</v>
      </c>
      <c r="F14" s="32">
        <f t="shared" si="0"/>
        <v>699400</v>
      </c>
    </row>
    <row r="16" spans="5:6" ht="12.75">
      <c r="E16" s="50" t="s">
        <v>89</v>
      </c>
      <c r="F16" s="63">
        <f>'Home Affordability'!M88</f>
        <v>104236.25914034614</v>
      </c>
    </row>
    <row r="17" spans="5:6" ht="12.75" hidden="1">
      <c r="E17" s="50" t="s">
        <v>88</v>
      </c>
      <c r="F17" s="64">
        <f>IF('Home Affordability'!M130,MATCH(F16,B3:B8,1),MATCH(F16,B9:B14,1)+6)</f>
        <v>9</v>
      </c>
    </row>
    <row r="18" spans="5:6" ht="12.75">
      <c r="E18" s="51" t="s">
        <v>86</v>
      </c>
      <c r="F18" s="67">
        <f ca="1">OFFSET(B3,F17-1,2)+OFFSET(B3,F17-1,3)*(F16-OFFSET(B3,F17-1,4))</f>
        <v>18906.564785086535</v>
      </c>
    </row>
    <row r="19" spans="5:6" ht="12.75">
      <c r="E19" s="51" t="s">
        <v>126</v>
      </c>
      <c r="F19" s="54">
        <f ca="1">OFFSET(B3,F17-1,3)</f>
        <v>0.25</v>
      </c>
    </row>
    <row r="20" spans="5:6" ht="12.75">
      <c r="E20" s="51" t="s">
        <v>87</v>
      </c>
      <c r="F20" s="54">
        <f>IF(F16&gt;0,F18/F16,0)</f>
        <v>0.181381842949969</v>
      </c>
    </row>
    <row r="26" ht="12.75">
      <c r="F26" s="58"/>
    </row>
  </sheetData>
  <sheetProtection sheet="1" objects="1" scenarios="1"/>
  <mergeCells count="2">
    <mergeCell ref="B1:C1"/>
    <mergeCell ref="D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F26"/>
  <sheetViews>
    <sheetView workbookViewId="0" topLeftCell="A1">
      <selection activeCell="C3" sqref="C3:C7"/>
    </sheetView>
  </sheetViews>
  <sheetFormatPr defaultColWidth="9.140625" defaultRowHeight="12.75"/>
  <cols>
    <col min="2" max="4" width="10.7109375" style="1" customWidth="1"/>
    <col min="5" max="5" width="10.7109375" style="24" customWidth="1"/>
    <col min="6" max="6" width="11.421875" style="1" bestFit="1" customWidth="1"/>
  </cols>
  <sheetData>
    <row r="1" spans="1:6" ht="12.75">
      <c r="A1" s="49"/>
      <c r="B1" s="189" t="s">
        <v>85</v>
      </c>
      <c r="C1" s="190"/>
      <c r="D1" s="191" t="s">
        <v>80</v>
      </c>
      <c r="E1" s="191"/>
      <c r="F1" s="192"/>
    </row>
    <row r="2" spans="1:6" ht="26.25" customHeight="1">
      <c r="A2" s="43"/>
      <c r="B2" s="44" t="s">
        <v>78</v>
      </c>
      <c r="C2" s="45" t="s">
        <v>79</v>
      </c>
      <c r="D2" s="46" t="s">
        <v>81</v>
      </c>
      <c r="E2" s="47" t="s">
        <v>82</v>
      </c>
      <c r="F2" s="48" t="s">
        <v>83</v>
      </c>
    </row>
    <row r="3" spans="1:6" ht="12.75">
      <c r="A3" s="25" t="s">
        <v>77</v>
      </c>
      <c r="B3" s="37">
        <v>0</v>
      </c>
      <c r="C3" s="153">
        <v>6827</v>
      </c>
      <c r="D3" s="26">
        <v>0</v>
      </c>
      <c r="E3" s="27">
        <v>0.01</v>
      </c>
      <c r="F3" s="22">
        <f>B3</f>
        <v>0</v>
      </c>
    </row>
    <row r="4" spans="1:6" ht="12.75">
      <c r="A4" s="16"/>
      <c r="B4" s="37">
        <f>C3</f>
        <v>6827</v>
      </c>
      <c r="C4" s="153">
        <v>16186</v>
      </c>
      <c r="D4" s="28">
        <f>D3+E3*(C3-B3)</f>
        <v>68.27</v>
      </c>
      <c r="E4" s="27">
        <v>0.02</v>
      </c>
      <c r="F4" s="22">
        <f aca="true" t="shared" si="0" ref="F4:F14">B4</f>
        <v>6827</v>
      </c>
    </row>
    <row r="5" spans="1:6" ht="12.75">
      <c r="A5" s="16"/>
      <c r="B5" s="37">
        <f>C4</f>
        <v>16186</v>
      </c>
      <c r="C5" s="153">
        <v>25546</v>
      </c>
      <c r="D5" s="28">
        <f>D4+E4*(C4-B4)</f>
        <v>255.45</v>
      </c>
      <c r="E5" s="27">
        <v>0.04</v>
      </c>
      <c r="F5" s="22">
        <f t="shared" si="0"/>
        <v>16186</v>
      </c>
    </row>
    <row r="6" spans="1:6" ht="12.75">
      <c r="A6" s="16"/>
      <c r="B6" s="37">
        <f>C5</f>
        <v>25546</v>
      </c>
      <c r="C6" s="153">
        <v>35463</v>
      </c>
      <c r="D6" s="28">
        <f>D5+E5*(C5-B5)</f>
        <v>629.85</v>
      </c>
      <c r="E6" s="27">
        <v>0.06</v>
      </c>
      <c r="F6" s="22">
        <f t="shared" si="0"/>
        <v>25546</v>
      </c>
    </row>
    <row r="7" spans="1:6" ht="12.75">
      <c r="A7" s="16"/>
      <c r="B7" s="37">
        <f>C6</f>
        <v>35463</v>
      </c>
      <c r="C7" s="153">
        <v>44818</v>
      </c>
      <c r="D7" s="28">
        <f>D6+E6*(C6-B6)</f>
        <v>1224.87</v>
      </c>
      <c r="E7" s="27">
        <v>0.08</v>
      </c>
      <c r="F7" s="22">
        <f t="shared" si="0"/>
        <v>35463</v>
      </c>
    </row>
    <row r="8" spans="1:6" ht="12.75">
      <c r="A8" s="33"/>
      <c r="B8" s="38">
        <f>C7</f>
        <v>44818</v>
      </c>
      <c r="C8" s="41"/>
      <c r="D8" s="106">
        <f>D7+E7*(C7-B7)</f>
        <v>1973.27</v>
      </c>
      <c r="E8" s="65">
        <v>0.093</v>
      </c>
      <c r="F8" s="36">
        <f t="shared" si="0"/>
        <v>44818</v>
      </c>
    </row>
    <row r="9" spans="1:6" ht="12.75">
      <c r="A9" s="25" t="s">
        <v>84</v>
      </c>
      <c r="B9" s="37">
        <v>0</v>
      </c>
      <c r="C9" s="40">
        <f>2*C3</f>
        <v>13654</v>
      </c>
      <c r="D9" s="26">
        <v>0</v>
      </c>
      <c r="E9" s="27">
        <v>0.01</v>
      </c>
      <c r="F9" s="22">
        <f t="shared" si="0"/>
        <v>0</v>
      </c>
    </row>
    <row r="10" spans="1:6" ht="12.75">
      <c r="A10" s="16"/>
      <c r="B10" s="37">
        <f>C9</f>
        <v>13654</v>
      </c>
      <c r="C10" s="40">
        <f>2*C4</f>
        <v>32372</v>
      </c>
      <c r="D10" s="108">
        <f>D9+E9*(C9-B9)</f>
        <v>136.54</v>
      </c>
      <c r="E10" s="27">
        <v>0.02</v>
      </c>
      <c r="F10" s="22">
        <f t="shared" si="0"/>
        <v>13654</v>
      </c>
    </row>
    <row r="11" spans="1:6" ht="12.75">
      <c r="A11" s="16"/>
      <c r="B11" s="37">
        <f>C10</f>
        <v>32372</v>
      </c>
      <c r="C11" s="40">
        <f>2*C5</f>
        <v>51092</v>
      </c>
      <c r="D11" s="108">
        <f>D10+E10*(C10-B10)</f>
        <v>510.9</v>
      </c>
      <c r="E11" s="27">
        <v>0.04</v>
      </c>
      <c r="F11" s="22">
        <f t="shared" si="0"/>
        <v>32372</v>
      </c>
    </row>
    <row r="12" spans="1:6" ht="12.75">
      <c r="A12" s="16"/>
      <c r="B12" s="37">
        <f>C11</f>
        <v>51092</v>
      </c>
      <c r="C12" s="40">
        <f>2*C6</f>
        <v>70926</v>
      </c>
      <c r="D12" s="108">
        <f>D11+E11*(C11-B11)</f>
        <v>1259.7</v>
      </c>
      <c r="E12" s="27">
        <v>0.06</v>
      </c>
      <c r="F12" s="22">
        <f t="shared" si="0"/>
        <v>51092</v>
      </c>
    </row>
    <row r="13" spans="1:6" ht="12.75">
      <c r="A13" s="16"/>
      <c r="B13" s="37">
        <f>C12</f>
        <v>70926</v>
      </c>
      <c r="C13" s="40">
        <f>2*C7</f>
        <v>89636</v>
      </c>
      <c r="D13" s="108">
        <f>D12+E12*(C12-B12)</f>
        <v>2449.74</v>
      </c>
      <c r="E13" s="27">
        <v>0.08</v>
      </c>
      <c r="F13" s="22">
        <f t="shared" si="0"/>
        <v>70926</v>
      </c>
    </row>
    <row r="14" spans="1:6" ht="13.5" thickBot="1">
      <c r="A14" s="29"/>
      <c r="B14" s="39">
        <f>C13</f>
        <v>89636</v>
      </c>
      <c r="C14" s="42"/>
      <c r="D14" s="107">
        <f>D13+E13*(C13-B13)</f>
        <v>3946.54</v>
      </c>
      <c r="E14" s="66">
        <v>0.093</v>
      </c>
      <c r="F14" s="32">
        <f t="shared" si="0"/>
        <v>89636</v>
      </c>
    </row>
    <row r="16" spans="5:6" ht="12.75">
      <c r="E16" s="50" t="s">
        <v>89</v>
      </c>
      <c r="F16" s="52">
        <f>'Home Affordability'!M89</f>
        <v>134973.59552408615</v>
      </c>
    </row>
    <row r="17" spans="5:6" ht="12.75" hidden="1">
      <c r="E17" s="50" t="s">
        <v>88</v>
      </c>
      <c r="F17" s="59">
        <f>IF('Home Affordability'!M130,MATCH(F16,B3:B8,1),MATCH(F16,B9:B14,1)+6)</f>
        <v>12</v>
      </c>
    </row>
    <row r="18" spans="5:6" ht="12.75">
      <c r="E18" s="51" t="s">
        <v>86</v>
      </c>
      <c r="F18" s="67">
        <f ca="1">OFFSET(B3,F17-1,2)+OFFSET(B3,F17-1,3)*(F16-OFFSET(B3,F17-1,4))</f>
        <v>8162.936383740012</v>
      </c>
    </row>
    <row r="19" spans="5:6" ht="12.75">
      <c r="E19" s="51" t="s">
        <v>126</v>
      </c>
      <c r="F19" s="54">
        <f ca="1">OFFSET(B3,F17-1,3)</f>
        <v>0.093</v>
      </c>
    </row>
    <row r="20" spans="5:6" ht="12.75">
      <c r="E20" s="51" t="s">
        <v>87</v>
      </c>
      <c r="F20" s="54">
        <f>IF(F16&gt;0,F18/F16,0)</f>
        <v>0.06047802425388697</v>
      </c>
    </row>
    <row r="26" ht="12.75">
      <c r="F26" s="58"/>
    </row>
  </sheetData>
  <sheetProtection sheet="1" objects="1" scenarios="1"/>
  <mergeCells count="2">
    <mergeCell ref="B1:C1"/>
    <mergeCell ref="D1:F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K18"/>
  <sheetViews>
    <sheetView workbookViewId="0" topLeftCell="A1">
      <selection activeCell="B4" sqref="B4"/>
    </sheetView>
  </sheetViews>
  <sheetFormatPr defaultColWidth="9.140625" defaultRowHeight="12.75"/>
  <cols>
    <col min="1" max="1" width="16.57421875" style="6" bestFit="1" customWidth="1"/>
    <col min="2" max="2" width="10.28125" style="1" bestFit="1" customWidth="1"/>
    <col min="3" max="3" width="9.7109375" style="1" bestFit="1" customWidth="1"/>
    <col min="4" max="11" width="9.140625" style="1" customWidth="1"/>
  </cols>
  <sheetData>
    <row r="1" spans="1:11" ht="12.75">
      <c r="A1" s="122" t="s">
        <v>151</v>
      </c>
      <c r="B1" s="123">
        <v>1</v>
      </c>
      <c r="C1" s="123">
        <f>B1+1</f>
        <v>2</v>
      </c>
      <c r="D1" s="123">
        <f aca="true" t="shared" si="0" ref="D1:K1">C1+1</f>
        <v>3</v>
      </c>
      <c r="E1" s="123">
        <f t="shared" si="0"/>
        <v>4</v>
      </c>
      <c r="F1" s="123">
        <f t="shared" si="0"/>
        <v>5</v>
      </c>
      <c r="G1" s="123">
        <f t="shared" si="0"/>
        <v>6</v>
      </c>
      <c r="H1" s="123">
        <f t="shared" si="0"/>
        <v>7</v>
      </c>
      <c r="I1" s="123">
        <f t="shared" si="0"/>
        <v>8</v>
      </c>
      <c r="J1" s="123">
        <f t="shared" si="0"/>
        <v>9</v>
      </c>
      <c r="K1" s="123">
        <f t="shared" si="0"/>
        <v>10</v>
      </c>
    </row>
    <row r="2" spans="1:11" ht="12.75">
      <c r="A2" s="6" t="s">
        <v>152</v>
      </c>
      <c r="B2" s="124">
        <v>0.07</v>
      </c>
      <c r="C2" s="124">
        <v>0.07</v>
      </c>
      <c r="D2" s="124">
        <v>-0.07</v>
      </c>
      <c r="E2" s="124">
        <v>-0.1</v>
      </c>
      <c r="F2" s="124">
        <v>0.07</v>
      </c>
      <c r="G2" s="124">
        <v>0.07</v>
      </c>
      <c r="H2" s="124">
        <v>0.07</v>
      </c>
      <c r="I2" s="124">
        <v>0.07</v>
      </c>
      <c r="J2" s="124">
        <v>0.07</v>
      </c>
      <c r="K2" s="124">
        <v>0.07</v>
      </c>
    </row>
    <row r="3" spans="1:11" ht="12.75">
      <c r="A3" s="6" t="s">
        <v>153</v>
      </c>
      <c r="B3" s="54">
        <f>B2</f>
        <v>0.07</v>
      </c>
      <c r="C3" s="54">
        <f>(1+B3)*(1+C2)-1</f>
        <v>0.14490000000000003</v>
      </c>
      <c r="D3" s="54">
        <f aca="true" t="shared" si="1" ref="D3:K3">(1+C3)*(1+D2)-1</f>
        <v>0.06475699999999995</v>
      </c>
      <c r="E3" s="54">
        <f t="shared" si="1"/>
        <v>-0.0417187</v>
      </c>
      <c r="F3" s="54">
        <f t="shared" si="1"/>
        <v>0.02536099100000011</v>
      </c>
      <c r="G3" s="54">
        <f t="shared" si="1"/>
        <v>0.09713626037000012</v>
      </c>
      <c r="H3" s="54">
        <f t="shared" si="1"/>
        <v>0.17393579859590025</v>
      </c>
      <c r="I3" s="54">
        <f t="shared" si="1"/>
        <v>0.2561113044976133</v>
      </c>
      <c r="J3" s="54">
        <f t="shared" si="1"/>
        <v>0.3440390958124464</v>
      </c>
      <c r="K3" s="54">
        <f t="shared" si="1"/>
        <v>0.4381218325193177</v>
      </c>
    </row>
    <row r="4" spans="1:2" ht="12.75">
      <c r="A4" s="6" t="s">
        <v>154</v>
      </c>
      <c r="B4" s="125">
        <f>(1+K3)^0.1-1</f>
        <v>0.03700193782545469</v>
      </c>
    </row>
    <row r="9" ht="12.75">
      <c r="A9" s="150" t="s">
        <v>170</v>
      </c>
    </row>
    <row r="10" spans="1:2" ht="12.75">
      <c r="A10" s="6" t="s">
        <v>174</v>
      </c>
      <c r="B10" s="151">
        <v>1000000</v>
      </c>
    </row>
    <row r="11" spans="1:2" ht="12.75">
      <c r="A11" s="6" t="s">
        <v>171</v>
      </c>
      <c r="B11" s="1">
        <v>30</v>
      </c>
    </row>
    <row r="12" spans="1:2" ht="12.75">
      <c r="A12" s="6" t="s">
        <v>172</v>
      </c>
      <c r="B12" s="149">
        <v>0.065</v>
      </c>
    </row>
    <row r="13" spans="1:2" ht="12.75">
      <c r="A13" s="6" t="s">
        <v>173</v>
      </c>
      <c r="B13" s="152">
        <f>-PMT(B12/12,B11*12,B10)</f>
        <v>6320.68023492966</v>
      </c>
    </row>
    <row r="18" ht="12.75">
      <c r="C18" s="152"/>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C25"/>
  <sheetViews>
    <sheetView workbookViewId="0" topLeftCell="A1">
      <selection activeCell="C26" sqref="C26"/>
    </sheetView>
  </sheetViews>
  <sheetFormatPr defaultColWidth="9.140625" defaultRowHeight="12.75"/>
  <cols>
    <col min="1" max="1" width="9.140625" style="92" customWidth="1"/>
    <col min="2" max="2" width="48.57421875" style="105" customWidth="1"/>
    <col min="3" max="3" width="70.28125" style="90" customWidth="1"/>
  </cols>
  <sheetData>
    <row r="1" spans="1:3" s="88" customFormat="1" ht="12.75">
      <c r="A1" s="91" t="s">
        <v>102</v>
      </c>
      <c r="B1" s="126" t="s">
        <v>103</v>
      </c>
      <c r="C1" s="89" t="s">
        <v>104</v>
      </c>
    </row>
    <row r="2" spans="1:3" ht="38.25">
      <c r="A2" s="92">
        <v>38194</v>
      </c>
      <c r="B2" s="127" t="s">
        <v>105</v>
      </c>
      <c r="C2" s="105" t="s">
        <v>108</v>
      </c>
    </row>
    <row r="3" spans="1:3" ht="12.75">
      <c r="A3" s="92">
        <v>38195</v>
      </c>
      <c r="B3" s="105" t="s">
        <v>107</v>
      </c>
      <c r="C3" s="105" t="s">
        <v>114</v>
      </c>
    </row>
    <row r="4" spans="1:3" ht="12.75" customHeight="1">
      <c r="A4" s="92">
        <v>38267</v>
      </c>
      <c r="B4" s="105" t="s">
        <v>115</v>
      </c>
      <c r="C4" s="105" t="s">
        <v>116</v>
      </c>
    </row>
    <row r="5" spans="1:3" ht="25.5">
      <c r="A5" s="92">
        <v>38267</v>
      </c>
      <c r="B5" s="105" t="s">
        <v>117</v>
      </c>
      <c r="C5" s="105" t="s">
        <v>118</v>
      </c>
    </row>
    <row r="6" spans="1:3" ht="25.5">
      <c r="A6" s="92">
        <v>38267</v>
      </c>
      <c r="B6" s="105" t="s">
        <v>119</v>
      </c>
      <c r="C6" s="90" t="s">
        <v>120</v>
      </c>
    </row>
    <row r="7" spans="1:2" ht="12.75">
      <c r="A7" s="92">
        <v>38808</v>
      </c>
      <c r="B7" s="105" t="s">
        <v>127</v>
      </c>
    </row>
    <row r="8" ht="12.75">
      <c r="B8" s="105" t="s">
        <v>123</v>
      </c>
    </row>
    <row r="9" ht="12.75">
      <c r="B9" s="105" t="s">
        <v>128</v>
      </c>
    </row>
    <row r="10" spans="2:3" ht="25.5">
      <c r="B10" s="105" t="s">
        <v>130</v>
      </c>
      <c r="C10" s="105" t="s">
        <v>131</v>
      </c>
    </row>
    <row r="11" ht="12.75">
      <c r="B11" s="105" t="s">
        <v>133</v>
      </c>
    </row>
    <row r="12" spans="1:3" ht="12.75">
      <c r="A12" s="92">
        <v>38815</v>
      </c>
      <c r="B12" s="105" t="s">
        <v>140</v>
      </c>
      <c r="C12" s="90" t="s">
        <v>141</v>
      </c>
    </row>
    <row r="13" spans="2:3" ht="25.5">
      <c r="B13" s="105" t="s">
        <v>142</v>
      </c>
      <c r="C13" s="90" t="s">
        <v>143</v>
      </c>
    </row>
    <row r="14" spans="2:3" ht="25.5">
      <c r="B14" s="105" t="s">
        <v>147</v>
      </c>
      <c r="C14" s="90" t="s">
        <v>144</v>
      </c>
    </row>
    <row r="15" spans="1:2" ht="25.5">
      <c r="A15" s="92">
        <v>39249</v>
      </c>
      <c r="B15" s="105" t="s">
        <v>149</v>
      </c>
    </row>
    <row r="16" spans="1:2" ht="12.75">
      <c r="A16" s="92">
        <v>39256</v>
      </c>
      <c r="B16" s="105" t="s">
        <v>150</v>
      </c>
    </row>
    <row r="17" spans="1:2" ht="25.5">
      <c r="A17" s="92">
        <v>39264</v>
      </c>
      <c r="B17" s="105" t="s">
        <v>155</v>
      </c>
    </row>
    <row r="18" spans="1:2" ht="25.5">
      <c r="A18" s="92">
        <v>39278</v>
      </c>
      <c r="B18" s="105" t="s">
        <v>156</v>
      </c>
    </row>
    <row r="19" spans="1:3" ht="25.5">
      <c r="A19" s="92">
        <v>39368</v>
      </c>
      <c r="B19" s="105" t="s">
        <v>158</v>
      </c>
      <c r="C19" s="90" t="s">
        <v>159</v>
      </c>
    </row>
    <row r="20" spans="1:2" ht="25.5">
      <c r="A20" s="92">
        <v>39427</v>
      </c>
      <c r="B20" s="105" t="s">
        <v>160</v>
      </c>
    </row>
    <row r="21" spans="1:3" ht="25.5">
      <c r="A21" s="92">
        <v>39531</v>
      </c>
      <c r="B21" s="105" t="s">
        <v>162</v>
      </c>
      <c r="C21" s="90" t="s">
        <v>161</v>
      </c>
    </row>
    <row r="22" spans="1:3" ht="12.75">
      <c r="A22" s="92">
        <v>39531</v>
      </c>
      <c r="B22" s="105" t="s">
        <v>165</v>
      </c>
      <c r="C22" s="90" t="s">
        <v>166</v>
      </c>
    </row>
    <row r="23" spans="1:2" ht="12.75">
      <c r="A23" s="92">
        <v>39535</v>
      </c>
      <c r="B23" s="105" t="s">
        <v>175</v>
      </c>
    </row>
    <row r="24" spans="1:2" ht="25.5">
      <c r="A24" s="92">
        <v>39585</v>
      </c>
      <c r="B24" s="105" t="s">
        <v>177</v>
      </c>
    </row>
    <row r="25" spans="1:3" ht="25.5">
      <c r="A25" s="92">
        <v>39592</v>
      </c>
      <c r="B25" s="105" t="s">
        <v>179</v>
      </c>
      <c r="C25" s="90" t="s">
        <v>180</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Schwartz</dc:creator>
  <cp:keywords/>
  <dc:description/>
  <cp:lastModifiedBy>Adam Schwartz</cp:lastModifiedBy>
  <dcterms:created xsi:type="dcterms:W3CDTF">2003-04-29T23:11:00Z</dcterms:created>
  <dcterms:modified xsi:type="dcterms:W3CDTF">2008-05-25T03:06:29Z</dcterms:modified>
  <cp:category/>
  <cp:version/>
  <cp:contentType/>
  <cp:contentStatus/>
</cp:coreProperties>
</file>